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150" windowWidth="14565" windowHeight="13080" tabRatio="875" firstSheet="10"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s>
  <externalReferences>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2" i="46" l="1"/>
  <c r="F14" i="66" l="1"/>
  <c r="E14" i="66"/>
  <c r="D14" i="66"/>
  <c r="D15" i="66"/>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M30" i="44"/>
  <c r="F11" i="67"/>
  <c r="F8" i="67"/>
  <c r="M29" i="44"/>
  <c r="F14" i="67"/>
  <c r="I6" i="65"/>
  <c r="J4" i="65"/>
  <c r="E13" i="67"/>
  <c r="E14" i="67"/>
  <c r="M24" i="15"/>
  <c r="M23" i="15"/>
  <c r="L47" i="15"/>
  <c r="F39" i="44"/>
  <c r="J17" i="44"/>
  <c r="M10" i="44"/>
  <c r="J7" i="65"/>
  <c r="M8" i="15"/>
  <c r="F9" i="44"/>
  <c r="J36" i="15"/>
  <c r="F38" i="44"/>
  <c r="F42" i="15"/>
  <c r="M11" i="44"/>
  <c r="F35" i="15"/>
  <c r="B12" i="67"/>
  <c r="B10" i="67"/>
  <c r="J15" i="15"/>
  <c r="E12" i="67"/>
  <c r="J5" i="65"/>
  <c r="F6" i="15"/>
  <c r="F10" i="44"/>
  <c r="M6" i="15"/>
  <c r="F7" i="15"/>
  <c r="M28" i="44"/>
  <c r="N4" i="65"/>
  <c r="F36" i="15"/>
  <c r="F13" i="15"/>
  <c r="F15" i="44"/>
  <c r="L48" i="15"/>
  <c r="F41" i="15"/>
  <c r="B8" i="67"/>
  <c r="F28" i="44"/>
  <c r="I3" i="65"/>
  <c r="M9" i="15"/>
  <c r="M25" i="44"/>
  <c r="E11" i="67"/>
  <c r="F43" i="44"/>
  <c r="B13" i="67"/>
  <c r="I7" i="65"/>
  <c r="M8" i="44"/>
  <c r="M29" i="15"/>
  <c r="E10" i="67"/>
  <c r="B11" i="67"/>
  <c r="M24" i="44"/>
  <c r="F40" i="15"/>
  <c r="M23" i="44"/>
  <c r="E9" i="67"/>
  <c r="N7" i="65"/>
  <c r="N6" i="65"/>
  <c r="J6" i="65"/>
  <c r="F12" i="67"/>
  <c r="L49" i="44"/>
  <c r="M31" i="44"/>
  <c r="F37" i="15"/>
  <c r="F18" i="44"/>
  <c r="J3" i="65"/>
  <c r="F38" i="15"/>
  <c r="F11" i="44"/>
  <c r="F8" i="15"/>
  <c r="F26" i="15"/>
  <c r="I4" i="65"/>
  <c r="M26" i="44"/>
  <c r="N3" i="65"/>
  <c r="N5" i="65"/>
  <c r="F37" i="44"/>
  <c r="F43" i="15"/>
  <c r="F45" i="44"/>
  <c r="F9" i="67"/>
  <c r="F46" i="44"/>
  <c r="F16" i="15"/>
  <c r="F9" i="15"/>
  <c r="E8" i="67"/>
  <c r="I5" i="65"/>
  <c r="M26" i="15"/>
  <c r="B9" i="67"/>
  <c r="L48" i="44"/>
  <c r="F10" i="67"/>
  <c r="B14" i="67"/>
  <c r="M21" i="15"/>
  <c r="M28" i="15"/>
  <c r="F13" i="67"/>
  <c r="M22" i="15"/>
  <c r="F40" i="44"/>
  <c r="M27" i="15"/>
  <c r="F8" i="44"/>
  <c r="C19" i="44"/>
  <c r="G6" i="1" l="1"/>
  <c r="I20" i="46"/>
  <c r="A30" i="5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E2" i="65"/>
  <c r="C18" i="44"/>
  <c r="C17" i="15"/>
  <c r="E3" i="65"/>
  <c r="F7" i="34" l="1"/>
  <c r="J7" i="34"/>
  <c r="AC7" i="34" s="1"/>
  <c r="V49" i="34" s="1"/>
  <c r="I49" i="34" s="1"/>
  <c r="C34" i="12"/>
  <c r="D33" i="12" s="1"/>
  <c r="C16" i="12"/>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B7" i="67"/>
  <c r="C14" i="15"/>
  <c r="C16" i="44"/>
  <c r="E7" i="67"/>
  <c r="C19" i="9"/>
  <c r="L43" i="9" l="1"/>
  <c r="D22" i="9"/>
  <c r="G19" i="9"/>
  <c r="L44" i="9"/>
  <c r="C20" i="44"/>
  <c r="C17" i="44"/>
  <c r="C18" i="15"/>
  <c r="C15" i="15"/>
  <c r="T16" i="1"/>
  <c r="S19" i="6"/>
  <c r="S27" i="6" s="1"/>
  <c r="I27" i="6"/>
  <c r="H19" i="6"/>
  <c r="P14" i="1"/>
  <c r="P16" i="1" s="1"/>
  <c r="C13" i="12" s="1"/>
  <c r="O16" i="1"/>
  <c r="L16" i="1"/>
  <c r="C13" i="43"/>
  <c r="I65" i="40"/>
  <c r="H67" i="40"/>
  <c r="H72" i="39"/>
  <c r="I70" i="39"/>
  <c r="N46" i="36"/>
  <c r="E3" i="67"/>
  <c r="B2" i="67"/>
  <c r="D4" i="46"/>
  <c r="B3" i="46"/>
  <c r="B4" i="46"/>
  <c r="D21" i="9"/>
  <c r="C21" i="9"/>
  <c r="C20" i="9"/>
  <c r="D20" i="9"/>
  <c r="G21" i="9" l="1"/>
  <c r="G20" i="9"/>
  <c r="G22" i="9"/>
  <c r="N43" i="9"/>
  <c r="C32" i="9"/>
  <c r="C19" i="15"/>
  <c r="C21" i="44"/>
  <c r="C20" i="15"/>
  <c r="C26" i="15" s="1"/>
  <c r="C14" i="12"/>
  <c r="C17" i="12"/>
  <c r="C22" i="44"/>
  <c r="C28" i="44" s="1"/>
  <c r="C17" i="43"/>
  <c r="C14" i="43"/>
  <c r="R19" i="6"/>
  <c r="H27" i="6"/>
  <c r="O46" i="36"/>
  <c r="J7" i="36" s="1"/>
  <c r="F7" i="36"/>
  <c r="H7" i="36"/>
  <c r="J65" i="40"/>
  <c r="I67" i="40"/>
  <c r="J70" i="39"/>
  <c r="I72" i="39"/>
  <c r="B3" i="67"/>
  <c r="B4" i="67"/>
  <c r="C42" i="9" l="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G14" i="66" s="1"/>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N69" i="9"/>
  <c r="O39" i="9"/>
  <c r="F44" i="9"/>
  <c r="B6" i="66"/>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Q63" i="15" s="1"/>
  <c r="L52" i="44"/>
  <c r="L58" i="44" s="1"/>
  <c r="L61" i="44" s="1"/>
  <c r="Q76" i="15"/>
  <c r="B3" i="44"/>
  <c r="B5" i="44"/>
  <c r="B4" i="44"/>
  <c r="Q69" i="44" l="1"/>
  <c r="Q59" i="44"/>
  <c r="Q64" i="44" s="1"/>
  <c r="Q68" i="44"/>
  <c r="Q77" i="44" s="1"/>
  <c r="B5" i="66"/>
  <c r="C5" i="66" s="1"/>
  <c r="D5"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<sst xmlns="http://schemas.openxmlformats.org/spreadsheetml/2006/main" count="6864" uniqueCount="3032">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</sst>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38738;&#20113;&#24215;&#20892;&#34892;&#36755;&#2642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据实估价表"/>
      <sheetName val="分值"/>
      <sheetName val="附属物"/>
    </sheetNames>
    <sheetDataSet>
      <sheetData sheetId="0">
        <row r="158">
          <cell r="D158">
            <v>1383822</v>
          </cell>
        </row>
        <row r="198">
          <cell r="B198">
            <v>1088184</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2019年8月9日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估价期日：2019年8月9日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7009</v>
      </c>
    </row>
    <row r="47" spans="1:2">
      <c r="A47" s="2595" t="s">
        <v>2704</v>
      </c>
      <c r="B47" s="2596">
        <f ca="1">'预评函-2'!Q5</f>
        <v>14650</v>
      </c>
    </row>
    <row r="48" spans="1:2">
      <c r="A48" s="2595" t="s">
        <v>2705</v>
      </c>
      <c r="B48" s="2596">
        <f ca="1">'预评函-2'!R5</f>
        <v>1286</v>
      </c>
    </row>
    <row r="49" spans="1:2">
      <c r="A49" s="2595" t="s">
        <v>2721</v>
      </c>
      <c r="B49" s="2596" t="str">
        <f>'预评函-2'!A6</f>
        <v>——</v>
      </c>
    </row>
    <row r="50" spans="1:2">
      <c r="A50" s="2595" t="s">
        <v>2706</v>
      </c>
      <c r="B50" s="2596">
        <f ca="1">'预评函-2'!R6</f>
        <v>1286</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3" t="str">
        <f>IF(B10="北京市","北京市",C10)&amp;F10&amp;B16&amp;"国有建设用地使用权"&amp;B9&amp;"预评估"</f>
        <v>北京市出让国有建设用地使用权市场价格预评估</v>
      </c>
      <c r="C1" s="3334"/>
      <c r="D1" s="3334"/>
      <c r="E1" s="3334"/>
      <c r="F1" s="3334"/>
      <c r="G1" s="3334"/>
      <c r="H1" s="3334"/>
      <c r="I1" s="3335"/>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43686</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39" t="s">
        <v>1933</v>
      </c>
      <c r="E8" s="1757" t="s">
        <v>3003</v>
      </c>
      <c r="F8" s="1599"/>
      <c r="G8" s="3074"/>
      <c r="H8" s="3074"/>
      <c r="I8" s="3077"/>
      <c r="J8" s="3073"/>
      <c r="K8" s="3056"/>
      <c r="L8" s="3052"/>
      <c r="M8" s="3052"/>
      <c r="N8" s="3053"/>
      <c r="O8" s="3054"/>
      <c r="P8" s="3053"/>
      <c r="Q8" s="3053"/>
      <c r="R8" s="3053"/>
      <c r="S8" s="3053"/>
      <c r="T8" s="3053"/>
      <c r="U8" s="3053"/>
    </row>
    <row r="9" spans="1:21" ht="15" thickBot="1">
      <c r="A9" s="2998" t="s">
        <v>1932</v>
      </c>
      <c r="B9" s="1600" t="s">
        <v>3005</v>
      </c>
      <c r="C9" s="1601"/>
      <c r="D9" s="3340"/>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36"/>
      <c r="C12" s="3337"/>
      <c r="D12" s="3338"/>
      <c r="E12" s="1620" t="s">
        <v>2050</v>
      </c>
      <c r="F12" s="3354" t="s">
        <v>2865</v>
      </c>
      <c r="G12" s="3355"/>
      <c r="H12" s="3355"/>
      <c r="I12" s="3356"/>
      <c r="J12" s="3073"/>
      <c r="K12" s="3056"/>
      <c r="L12" s="3052"/>
      <c r="M12" s="3052"/>
      <c r="N12" s="3053"/>
      <c r="O12" s="3054"/>
      <c r="P12" s="3053"/>
      <c r="Q12" s="3053"/>
      <c r="R12" s="3053"/>
      <c r="S12" s="3053"/>
      <c r="T12" s="3053"/>
      <c r="U12" s="3053"/>
    </row>
    <row r="13" spans="1:21">
      <c r="A13" s="1611" t="s">
        <v>2048</v>
      </c>
      <c r="B13" s="3336"/>
      <c r="C13" s="3337"/>
      <c r="D13" s="3338"/>
      <c r="E13" s="1620" t="s">
        <v>2050</v>
      </c>
      <c r="F13" s="3354" t="s">
        <v>2866</v>
      </c>
      <c r="G13" s="3355"/>
      <c r="H13" s="3355"/>
      <c r="I13" s="3356"/>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29.76</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1"/>
      <c r="E20" s="3352"/>
      <c r="F20" s="3352"/>
      <c r="G20" s="3352"/>
      <c r="H20" s="3352"/>
      <c r="I20" s="3353"/>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41" t="s">
        <v>1987</v>
      </c>
      <c r="F21" s="3342"/>
      <c r="G21" s="3342"/>
      <c r="H21" s="3342"/>
      <c r="I21" s="3343"/>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41" t="s">
        <v>2867</v>
      </c>
      <c r="F22" s="3342"/>
      <c r="G22" s="3342"/>
      <c r="H22" s="3342"/>
      <c r="I22" s="3343"/>
      <c r="J22" s="3073"/>
      <c r="K22" s="3056"/>
      <c r="L22" s="3052"/>
      <c r="M22" s="3052"/>
      <c r="N22" s="3053"/>
      <c r="O22" s="3054"/>
      <c r="P22" s="3053"/>
      <c r="Q22" s="3053"/>
      <c r="R22" s="3053"/>
      <c r="S22" s="3053"/>
      <c r="T22" s="3053"/>
      <c r="U22" s="3053"/>
    </row>
    <row r="23" spans="1:21" ht="43.5"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4" t="s">
        <v>1955</v>
      </c>
      <c r="C24" s="3345"/>
      <c r="D24" s="3346" t="s">
        <v>1956</v>
      </c>
      <c r="E24" s="3347"/>
      <c r="F24" s="1629" t="s">
        <v>1957</v>
      </c>
      <c r="G24" s="3073"/>
      <c r="H24" s="3073"/>
      <c r="I24" s="3077"/>
      <c r="J24" s="3073"/>
      <c r="K24" s="3332"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2"/>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2"/>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18" t="s">
        <v>1990</v>
      </c>
      <c r="B31" s="1681" t="s">
        <v>1991</v>
      </c>
      <c r="C31" s="3357" t="s">
        <v>3020</v>
      </c>
      <c r="D31" s="3358"/>
      <c r="E31" s="3073"/>
      <c r="F31" s="3073"/>
      <c r="G31" s="3073"/>
      <c r="H31" s="3073"/>
      <c r="I31" s="3077"/>
      <c r="J31" s="3073"/>
      <c r="K31" s="3059"/>
      <c r="L31" s="3053"/>
      <c r="M31" s="3053"/>
      <c r="N31" s="3053"/>
      <c r="O31" s="3053"/>
      <c r="P31" s="3053"/>
      <c r="Q31" s="3053"/>
      <c r="R31" s="3053"/>
      <c r="S31" s="3053"/>
      <c r="T31" s="3053"/>
      <c r="U31" s="3053"/>
    </row>
    <row r="32" spans="1:21">
      <c r="A32" s="3318"/>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18"/>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19"/>
      <c r="B34" s="1588" t="s">
        <v>1994</v>
      </c>
      <c r="C34" s="3320"/>
      <c r="D34" s="3321"/>
      <c r="E34" s="3073"/>
      <c r="F34" s="3073"/>
      <c r="G34" s="3073"/>
      <c r="H34" s="3073"/>
      <c r="I34" s="3077"/>
      <c r="J34" s="3073"/>
      <c r="K34" s="3059"/>
      <c r="L34" s="3053"/>
      <c r="M34" s="3053"/>
      <c r="N34" s="3053"/>
      <c r="O34" s="3053"/>
      <c r="P34" s="3053"/>
      <c r="Q34" s="3053"/>
      <c r="R34" s="3053"/>
      <c r="S34" s="3053"/>
      <c r="T34" s="3053"/>
      <c r="U34" s="3053"/>
    </row>
    <row r="35" spans="1:28">
      <c r="A35" s="3322" t="s">
        <v>839</v>
      </c>
      <c r="B35" s="1643"/>
      <c r="C35" s="1690" t="str">
        <f>IF(B35="场地平整","——","具体情况：")</f>
        <v>具体情况：</v>
      </c>
      <c r="D35" s="3324"/>
      <c r="E35" s="3325"/>
      <c r="F35" s="3325"/>
      <c r="G35" s="3325"/>
      <c r="H35" s="3325"/>
      <c r="I35" s="3326"/>
      <c r="J35" s="3073"/>
      <c r="K35" s="3060"/>
      <c r="L35" s="3052"/>
      <c r="M35" s="3052"/>
      <c r="N35" s="3053"/>
      <c r="O35" s="3054"/>
      <c r="P35" s="3053"/>
      <c r="Q35" s="3053"/>
      <c r="R35" s="3053"/>
      <c r="S35" s="3053"/>
      <c r="T35" s="3053"/>
      <c r="U35" s="3053"/>
    </row>
    <row r="36" spans="1:28">
      <c r="A36" s="3318"/>
      <c r="B36" s="3327" t="s">
        <v>2043</v>
      </c>
      <c r="C36" s="3328"/>
      <c r="D36" s="1706"/>
      <c r="E36" s="3329"/>
      <c r="F36" s="3329"/>
      <c r="G36" s="1611" t="str">
        <f>IF(B35="场地未平整","估价结果处理","")</f>
        <v/>
      </c>
      <c r="H36" s="3330"/>
      <c r="I36" s="3330"/>
      <c r="J36" s="3073"/>
      <c r="K36" s="3060"/>
      <c r="L36" s="3052"/>
      <c r="M36" s="3052"/>
      <c r="N36" s="3053"/>
      <c r="O36" s="3054"/>
      <c r="P36" s="3053"/>
      <c r="Q36" s="3053"/>
      <c r="R36" s="3053"/>
      <c r="S36" s="3053"/>
      <c r="T36" s="3053"/>
      <c r="U36" s="3053"/>
    </row>
    <row r="37" spans="1:28" ht="28.5">
      <c r="A37" s="3318"/>
      <c r="B37" s="3348"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18"/>
      <c r="B38" s="3349"/>
      <c r="C38" s="1596" t="s">
        <v>842</v>
      </c>
      <c r="D38" s="1705">
        <f>ROUNDDOWN(MIN(('数据-取费表'!$B$2-D37)/365,D34),1)</f>
        <v>119.6</v>
      </c>
      <c r="E38" s="1648" t="s">
        <v>843</v>
      </c>
      <c r="F38" s="3073"/>
      <c r="G38" s="3073"/>
      <c r="H38" s="3073"/>
      <c r="I38" s="3077"/>
      <c r="J38" s="3073"/>
      <c r="K38" s="3060"/>
      <c r="L38" s="3053"/>
      <c r="M38" s="3053"/>
      <c r="N38" s="3053"/>
      <c r="O38" s="3053"/>
      <c r="P38" s="3053"/>
      <c r="Q38" s="3053"/>
      <c r="R38" s="3053"/>
      <c r="S38" s="3053"/>
      <c r="T38" s="3053"/>
      <c r="U38" s="3053"/>
    </row>
    <row r="39" spans="1:28">
      <c r="A39" s="3319"/>
      <c r="B39" s="3350"/>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31" t="s">
        <v>1974</v>
      </c>
      <c r="T40" s="1652" t="str">
        <f>NUMBERSTRING(7-K40,1)&amp;"通"</f>
        <v>七通</v>
      </c>
      <c r="U40" s="3053"/>
    </row>
    <row r="41" spans="1:28">
      <c r="A41" s="1590"/>
      <c r="B41" s="3323" t="s">
        <v>1712</v>
      </c>
      <c r="C41" s="3323"/>
      <c r="D41" s="3323"/>
      <c r="E41" s="3323"/>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31"/>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V48" sqref="V48"/>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5">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43686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29.76</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0.5">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1.25">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0.5">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7.75"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7">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7" sqref="G37"/>
    </sheetView>
  </sheetViews>
  <sheetFormatPr defaultColWidth="14.625" defaultRowHeight="13.5"/>
  <cols>
    <col min="1" max="1" width="24.375" style="3186" customWidth="1"/>
    <col min="2" max="16384" width="14.625" style="3186"/>
  </cols>
  <sheetData>
    <row r="1" spans="1:10" ht="16.5">
      <c r="A1" s="3185" t="s">
        <v>2823</v>
      </c>
      <c r="B1" s="3185">
        <f>SUM(B14:B23)</f>
        <v>877.81</v>
      </c>
      <c r="C1" s="3194"/>
      <c r="D1" s="3194"/>
      <c r="E1" s="3194"/>
      <c r="F1" s="3194"/>
      <c r="G1" s="3195"/>
      <c r="H1" s="3195"/>
      <c r="I1" s="3195"/>
      <c r="J1" s="3195"/>
    </row>
    <row r="2" spans="1:10" ht="16.5">
      <c r="A2" s="3185" t="s">
        <v>2824</v>
      </c>
      <c r="B2" s="3185">
        <f>SUM(C14:C23)</f>
        <v>1834.78</v>
      </c>
      <c r="C2" s="3194"/>
      <c r="D2" s="3194"/>
      <c r="E2" s="3194"/>
      <c r="F2" s="3194"/>
      <c r="G2" s="3195"/>
      <c r="H2" s="3195"/>
      <c r="I2" s="3195"/>
      <c r="J2" s="3195"/>
    </row>
    <row r="3" spans="1:10" ht="16.5">
      <c r="A3" s="3185" t="s">
        <v>2825</v>
      </c>
      <c r="B3" s="3187">
        <f>项目基本情况!D3</f>
        <v>43686</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SUM(D14:D23)</f>
        <v>1533.2006000000001</v>
      </c>
      <c r="C5" s="3185">
        <f>ROUND(B5*10000/$B$1,0)</f>
        <v>17466</v>
      </c>
      <c r="D5" s="3185">
        <f>ROUND(B5*10000/$B$2,0)</f>
        <v>8356</v>
      </c>
      <c r="E5" s="3194"/>
      <c r="F5" s="3194"/>
      <c r="G5" s="3195"/>
      <c r="H5" s="3195"/>
      <c r="I5" s="3195"/>
      <c r="J5" s="3195"/>
    </row>
    <row r="6" spans="1:10" ht="16.5">
      <c r="A6" s="3185" t="s">
        <v>2831</v>
      </c>
      <c r="B6" s="3185">
        <f ca="1">SUM(G14:G23)</f>
        <v>1286</v>
      </c>
      <c r="C6" s="3185">
        <f t="shared" ref="C6:C8" ca="1" si="0">ROUND(B6*10000/$B$1,0)</f>
        <v>14650</v>
      </c>
      <c r="D6" s="3185">
        <f t="shared" ref="D6:D8" ca="1" si="1">ROUND(B6*10000/$B$2,0)</f>
        <v>7009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2823</v>
      </c>
      <c r="C13" s="3189" t="s">
        <v>2824</v>
      </c>
      <c r="D13" s="3189" t="s">
        <v>2836</v>
      </c>
      <c r="E13" s="3185" t="s">
        <v>2847</v>
      </c>
      <c r="F13" s="3185" t="s">
        <v>2829</v>
      </c>
      <c r="G13" s="3189" t="s">
        <v>2837</v>
      </c>
      <c r="H13" s="3189" t="s">
        <v>2838</v>
      </c>
      <c r="I13" s="3189" t="s">
        <v>2839</v>
      </c>
      <c r="J13" s="3195"/>
    </row>
    <row r="14" spans="1:10" ht="16.5">
      <c r="A14" s="3190" t="s">
        <v>3027</v>
      </c>
      <c r="B14" s="3191">
        <f>结果表!L38</f>
        <v>877.81</v>
      </c>
      <c r="C14" s="3191">
        <f>结果表!K38</f>
        <v>1834.78</v>
      </c>
      <c r="D14" s="3191">
        <f>ROUND(基准地价!B3*基准地价!D1/10000,0)</f>
        <v>1286</v>
      </c>
      <c r="E14" s="3191">
        <f>ROUND(D14*10000/B14,0)</f>
        <v>14650</v>
      </c>
      <c r="F14" s="3191">
        <f>ROUND(D14*10000/C14,0)</f>
        <v>7009</v>
      </c>
      <c r="G14" s="3191">
        <f ca="1">结果表!C44</f>
        <v>1286</v>
      </c>
      <c r="H14" s="3191" t="str">
        <f>结果表!C45</f>
        <v>——</v>
      </c>
      <c r="I14" s="3191" t="str">
        <f>结果表!C46</f>
        <v>——</v>
      </c>
      <c r="J14" s="3195"/>
    </row>
    <row r="15" spans="1:10" ht="16.5">
      <c r="A15" s="3190" t="s">
        <v>3028</v>
      </c>
      <c r="B15" s="3192"/>
      <c r="C15" s="3192"/>
      <c r="D15" s="3192">
        <f>('[1]1'!$D$158+'[1]1'!$B$198)/10000</f>
        <v>247.20060000000001</v>
      </c>
      <c r="E15" s="3191" t="e">
        <f t="shared" ref="E15:E23" si="2">ROUND(D15*10000/B15,0)</f>
        <v>#DIV/0!</v>
      </c>
      <c r="F15" s="3191" t="e">
        <f t="shared" ref="F15:F23" si="3">ROUND(D15*10000/C15,0)</f>
        <v>#DIV/0!</v>
      </c>
      <c r="G15" s="2757"/>
      <c r="H15" s="2757"/>
      <c r="I15" s="3192"/>
      <c r="J15" s="3195"/>
    </row>
    <row r="16" spans="1:10" ht="16.5">
      <c r="A16" s="3190" t="s">
        <v>3029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15" t="s">
        <v>298</v>
      </c>
      <c r="B3" s="3416"/>
      <c r="C3" s="3416"/>
      <c r="D3" s="3416"/>
      <c r="E3" s="3416"/>
      <c r="F3" s="3416"/>
      <c r="G3" s="3416"/>
      <c r="H3" s="3416"/>
      <c r="I3" s="3416"/>
      <c r="J3" s="1913"/>
      <c r="K3" s="1912"/>
      <c r="L3" s="1912"/>
      <c r="M3" s="1912"/>
      <c r="N3" s="1912"/>
      <c r="O3" s="1912"/>
      <c r="P3" s="1912"/>
      <c r="Q3" s="1912"/>
      <c r="R3" s="1912"/>
      <c r="S3" s="1912"/>
      <c r="T3" s="1912"/>
      <c r="U3" s="1912"/>
      <c r="V3" s="1912"/>
    </row>
    <row r="4" spans="1:22" ht="14.25">
      <c r="A4" s="256" t="s">
        <v>299</v>
      </c>
      <c r="B4" s="257" t="s">
        <v>300</v>
      </c>
      <c r="C4" s="258" t="s">
        <v>3026</v>
      </c>
      <c r="D4" s="258" t="s">
        <v>3026</v>
      </c>
      <c r="E4" s="3381" t="s">
        <v>301</v>
      </c>
      <c r="F4" s="3382"/>
      <c r="G4" s="3382"/>
      <c r="H4" s="3382"/>
      <c r="I4" s="3417"/>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4.25">
      <c r="A5" s="3380" t="s">
        <v>302</v>
      </c>
      <c r="B5" s="3409">
        <v>25</v>
      </c>
      <c r="C5" s="3407"/>
      <c r="D5" s="3411"/>
      <c r="E5" s="259" t="s">
        <v>303</v>
      </c>
      <c r="F5" s="260"/>
      <c r="G5" s="260"/>
      <c r="H5" s="260"/>
      <c r="I5" s="261"/>
      <c r="J5" s="1913"/>
      <c r="K5" s="1912"/>
      <c r="L5" s="1912"/>
      <c r="M5" s="1912"/>
      <c r="N5" s="1912"/>
      <c r="O5" s="1912"/>
      <c r="P5" s="1912"/>
      <c r="Q5" s="1912"/>
      <c r="R5" s="1912"/>
      <c r="S5" s="1912"/>
      <c r="T5" s="1912"/>
      <c r="U5" s="1912"/>
      <c r="V5" s="1912"/>
    </row>
    <row r="6" spans="1:22" ht="14.25">
      <c r="A6" s="3380"/>
      <c r="B6" s="3409"/>
      <c r="C6" s="3410"/>
      <c r="D6" s="3411"/>
      <c r="E6" s="259" t="s">
        <v>304</v>
      </c>
      <c r="F6" s="260"/>
      <c r="G6" s="260"/>
      <c r="H6" s="260"/>
      <c r="I6" s="261"/>
      <c r="J6" s="1913"/>
      <c r="K6" s="1912"/>
      <c r="L6" s="1912"/>
      <c r="M6" s="1912"/>
      <c r="N6" s="1912"/>
      <c r="O6" s="1912"/>
      <c r="P6" s="1912"/>
      <c r="Q6" s="1912"/>
      <c r="R6" s="1912"/>
      <c r="S6" s="1912"/>
      <c r="T6" s="1912"/>
      <c r="U6" s="1912"/>
      <c r="V6" s="1912"/>
    </row>
    <row r="7" spans="1:22" ht="14.25">
      <c r="A7" s="3380"/>
      <c r="B7" s="3409"/>
      <c r="C7" s="3408"/>
      <c r="D7" s="3411"/>
      <c r="E7" s="259" t="s">
        <v>305</v>
      </c>
      <c r="F7" s="260"/>
      <c r="G7" s="260"/>
      <c r="H7" s="260"/>
      <c r="I7" s="261"/>
      <c r="J7" s="1913"/>
      <c r="K7" s="1912"/>
      <c r="L7" s="1912"/>
      <c r="M7" s="1912"/>
      <c r="N7" s="1912"/>
      <c r="O7" s="1912"/>
      <c r="P7" s="1912"/>
      <c r="Q7" s="1912"/>
      <c r="R7" s="1912"/>
      <c r="S7" s="1912"/>
      <c r="T7" s="1912"/>
      <c r="U7" s="1912"/>
      <c r="V7" s="1912"/>
    </row>
    <row r="8" spans="1:22" ht="14.25">
      <c r="A8" s="3380" t="s">
        <v>306</v>
      </c>
      <c r="B8" s="3409">
        <v>15</v>
      </c>
      <c r="C8" s="3407"/>
      <c r="D8" s="3411"/>
      <c r="E8" s="259" t="s">
        <v>307</v>
      </c>
      <c r="F8" s="260"/>
      <c r="G8" s="260"/>
      <c r="H8" s="260"/>
      <c r="I8" s="261"/>
      <c r="J8" s="1913"/>
      <c r="K8" s="1912"/>
      <c r="L8" s="1912"/>
      <c r="M8" s="1912"/>
      <c r="N8" s="1912"/>
      <c r="O8" s="1912"/>
      <c r="P8" s="1912"/>
      <c r="Q8" s="1912"/>
      <c r="R8" s="1912"/>
      <c r="S8" s="1912"/>
      <c r="T8" s="1912"/>
      <c r="U8" s="1912"/>
      <c r="V8" s="1912"/>
    </row>
    <row r="9" spans="1:22" ht="14.25">
      <c r="A9" s="3380"/>
      <c r="B9" s="3409"/>
      <c r="C9" s="3408"/>
      <c r="D9" s="3411"/>
      <c r="E9" s="259" t="s">
        <v>308</v>
      </c>
      <c r="F9" s="260"/>
      <c r="G9" s="260"/>
      <c r="H9" s="260"/>
      <c r="I9" s="261"/>
      <c r="J9" s="1913"/>
      <c r="K9" s="1912"/>
      <c r="L9" s="1912"/>
      <c r="M9" s="1912"/>
      <c r="N9" s="1912"/>
      <c r="O9" s="1912"/>
      <c r="P9" s="1912"/>
      <c r="Q9" s="1912"/>
      <c r="R9" s="1912"/>
      <c r="S9" s="1912"/>
      <c r="T9" s="1912"/>
      <c r="U9" s="1912"/>
      <c r="V9" s="1912"/>
    </row>
    <row r="10" spans="1:22" ht="14.25">
      <c r="A10" s="3380" t="s">
        <v>309</v>
      </c>
      <c r="B10" s="3409">
        <v>15</v>
      </c>
      <c r="C10" s="3407"/>
      <c r="D10" s="3411"/>
      <c r="E10" s="259" t="s">
        <v>310</v>
      </c>
      <c r="F10" s="260"/>
      <c r="G10" s="260"/>
      <c r="H10" s="260"/>
      <c r="I10" s="261"/>
      <c r="J10" s="1913"/>
      <c r="K10" s="1912"/>
      <c r="L10" s="1912"/>
      <c r="M10" s="1912"/>
      <c r="N10" s="1912"/>
      <c r="O10" s="1912"/>
      <c r="P10" s="1912"/>
      <c r="Q10" s="1912"/>
      <c r="R10" s="1912"/>
      <c r="S10" s="1912"/>
      <c r="T10" s="1912"/>
      <c r="U10" s="1912"/>
      <c r="V10" s="1912"/>
    </row>
    <row r="11" spans="1:22" ht="14.25">
      <c r="A11" s="3380"/>
      <c r="B11" s="3409"/>
      <c r="C11" s="3408"/>
      <c r="D11" s="3411"/>
      <c r="E11" s="259" t="s">
        <v>311</v>
      </c>
      <c r="F11" s="260"/>
      <c r="G11" s="260"/>
      <c r="H11" s="260"/>
      <c r="I11" s="261"/>
      <c r="J11" s="1913"/>
      <c r="K11" s="1912"/>
      <c r="L11" s="1912"/>
      <c r="M11" s="1912"/>
      <c r="N11" s="1912"/>
      <c r="O11" s="1912"/>
      <c r="P11" s="1912"/>
      <c r="Q11" s="1912"/>
      <c r="R11" s="1912"/>
      <c r="S11" s="1912"/>
      <c r="T11" s="1912"/>
      <c r="U11" s="1912"/>
      <c r="V11" s="1912"/>
    </row>
    <row r="12" spans="1:22" ht="14.25">
      <c r="A12" s="3380" t="s">
        <v>312</v>
      </c>
      <c r="B12" s="3409">
        <v>15</v>
      </c>
      <c r="C12" s="3407"/>
      <c r="D12" s="3411"/>
      <c r="E12" s="259" t="s">
        <v>313</v>
      </c>
      <c r="F12" s="260"/>
      <c r="G12" s="260"/>
      <c r="H12" s="260"/>
      <c r="I12" s="261"/>
      <c r="J12" s="1913"/>
      <c r="K12" s="1912"/>
      <c r="L12" s="1912"/>
      <c r="M12" s="1912"/>
      <c r="N12" s="1912"/>
      <c r="O12" s="1912"/>
      <c r="P12" s="1912"/>
      <c r="Q12" s="1912"/>
      <c r="R12" s="1912"/>
      <c r="S12" s="1912"/>
      <c r="T12" s="1912"/>
      <c r="U12" s="1912"/>
      <c r="V12" s="1912"/>
    </row>
    <row r="13" spans="1:22" ht="14.25">
      <c r="A13" s="3380"/>
      <c r="B13" s="3409"/>
      <c r="C13" s="3408"/>
      <c r="D13" s="3411"/>
      <c r="E13" s="259" t="s">
        <v>314</v>
      </c>
      <c r="F13" s="260"/>
      <c r="G13" s="260"/>
      <c r="H13" s="260"/>
      <c r="I13" s="261"/>
      <c r="J13" s="1913"/>
      <c r="K13" s="1912"/>
      <c r="L13" s="1912"/>
      <c r="M13" s="1912"/>
      <c r="N13" s="1912"/>
      <c r="O13" s="1912"/>
      <c r="P13" s="1912"/>
      <c r="Q13" s="1912"/>
      <c r="R13" s="1912"/>
      <c r="S13" s="1912"/>
      <c r="T13" s="1912"/>
      <c r="U13" s="1912"/>
      <c r="V13" s="1912"/>
    </row>
    <row r="14" spans="1:22" ht="14.25">
      <c r="A14" s="3380" t="s">
        <v>315</v>
      </c>
      <c r="B14" s="3409">
        <v>30</v>
      </c>
      <c r="C14" s="3407">
        <v>1</v>
      </c>
      <c r="D14" s="3411"/>
      <c r="E14" s="259" t="s">
        <v>316</v>
      </c>
      <c r="F14" s="260"/>
      <c r="G14" s="260"/>
      <c r="H14" s="260"/>
      <c r="I14" s="261"/>
      <c r="J14" s="1913"/>
      <c r="K14" s="1912"/>
      <c r="L14" s="1912"/>
      <c r="M14" s="1912"/>
      <c r="N14" s="1912"/>
      <c r="O14" s="1912"/>
      <c r="P14" s="1912"/>
      <c r="Q14" s="1912"/>
      <c r="R14" s="1912"/>
      <c r="S14" s="1912"/>
      <c r="T14" s="1912"/>
      <c r="U14" s="1912"/>
      <c r="V14" s="1912"/>
    </row>
    <row r="15" spans="1:22" ht="14.25">
      <c r="A15" s="3380"/>
      <c r="B15" s="3409"/>
      <c r="C15" s="3410"/>
      <c r="D15" s="3411"/>
      <c r="E15" s="259" t="s">
        <v>317</v>
      </c>
      <c r="F15" s="260"/>
      <c r="G15" s="260"/>
      <c r="H15" s="260"/>
      <c r="I15" s="261"/>
      <c r="J15" s="1913"/>
      <c r="K15" s="1912"/>
      <c r="L15" s="1912"/>
      <c r="M15" s="1912"/>
      <c r="N15" s="1912"/>
      <c r="O15" s="1912"/>
      <c r="P15" s="1912"/>
      <c r="Q15" s="1912"/>
      <c r="R15" s="1912"/>
      <c r="S15" s="1912"/>
      <c r="T15" s="1912"/>
      <c r="U15" s="1912"/>
      <c r="V15" s="1912"/>
    </row>
    <row r="16" spans="1:22" ht="14.25">
      <c r="A16" s="3380"/>
      <c r="B16" s="3409"/>
      <c r="C16" s="3408"/>
      <c r="D16" s="3411"/>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12" t="s">
        <v>2960</v>
      </c>
      <c r="F18" s="3413"/>
      <c r="G18" s="3413"/>
      <c r="H18" s="3413"/>
      <c r="I18" s="341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1286</v>
      </c>
      <c r="D19" s="269">
        <f ca="1">SUMIF(INDIRECT("'"&amp;D4&amp;"'"&amp;"!A:A"),结果表!B19,INDIRECT("'"&amp;D4&amp;"'"&amp;"!B:B"))</f>
        <v>1286</v>
      </c>
      <c r="E19" s="266" t="s">
        <v>323</v>
      </c>
      <c r="F19" s="267" t="s">
        <v>322</v>
      </c>
      <c r="G19" s="270">
        <f ca="1">ROUND(C19*$C$18+D19*$D$18,0)</f>
        <v>1286</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14650</v>
      </c>
      <c r="D20" s="275">
        <f ca="1">SUMIF(INDIRECT("'"&amp;D4&amp;"'"&amp;"!A:A"),结果表!B20,INDIRECT("'"&amp;D4&amp;"'"&amp;"!B:B"))</f>
        <v>14650</v>
      </c>
      <c r="E20" s="272"/>
      <c r="F20" s="273" t="s">
        <v>325</v>
      </c>
      <c r="G20" s="276">
        <f ca="1">ROUND(C20*$C$18+D20*$D$18,0)</f>
        <v>14650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7009</v>
      </c>
      <c r="D21" s="149">
        <f ca="1">SUMIF(INDIRECT("'"&amp;D4&amp;"'"&amp;"!A:A"),结果表!B21,INDIRECT("'"&amp;D4&amp;"'"&amp;"!B:B"))</f>
        <v>7009</v>
      </c>
      <c r="E21" s="272"/>
      <c r="F21" s="278" t="s">
        <v>327</v>
      </c>
      <c r="G21" s="280">
        <f ca="1">ROUND(C21*$C$18+D21*$D$18,0)</f>
        <v>7009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467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7"/>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出让国有建设用地使用权价格：1286万元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大写金额：人民币壹仟贰佰捌拾陆万元整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单位面积地价：7009元/平方米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楼面地价：14650元/平方米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抵押价格：1286万元</v>
      </c>
      <c r="L29" s="1206"/>
      <c r="M29" s="1206"/>
      <c r="N29" s="1206"/>
      <c r="O29" s="1205"/>
      <c r="P29" s="1912"/>
      <c r="V29" s="1912"/>
    </row>
    <row r="30" spans="1:26" ht="18.75" thickBot="1">
      <c r="A30" s="2800" t="s">
        <v>336</v>
      </c>
      <c r="B30" s="307"/>
      <c r="C30" s="307"/>
      <c r="D30" s="308"/>
      <c r="E30" s="3003" t="s">
        <v>2961</v>
      </c>
      <c r="F30" s="309"/>
      <c r="G30" s="309"/>
      <c r="H30" s="309"/>
      <c r="I30" s="309"/>
      <c r="J30" s="1912"/>
      <c r="K30" s="1212" t="str">
        <f ca="1">IF(K29="——","——","大写金额：人民币"&amp;NUMBERSTRING(INT(O39*10000),2)&amp;"元整")</f>
        <v>大写金额：人民币壹仟贰佰捌拾陆万元整</v>
      </c>
      <c r="L30" s="1206"/>
      <c r="M30" s="1206"/>
      <c r="N30" s="1206"/>
      <c r="O30" s="1205"/>
      <c r="P30" s="1912"/>
      <c r="V30" s="1912"/>
    </row>
    <row r="31" spans="1:26" ht="24" customHeight="1" thickBot="1">
      <c r="A31" s="3414" t="s">
        <v>2962</v>
      </c>
      <c r="B31" s="3414"/>
      <c r="C31" s="3414"/>
      <c r="D31" s="3414"/>
      <c r="E31" s="3414"/>
      <c r="F31" s="3414"/>
      <c r="G31" s="3414"/>
      <c r="H31" s="3414"/>
      <c r="I31" s="341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1286</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14650</v>
      </c>
      <c r="D33" s="1334" t="s">
        <v>1682</v>
      </c>
      <c r="E33" s="3386"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7009</v>
      </c>
      <c r="D34" s="1336" t="s">
        <v>1682</v>
      </c>
      <c r="E34" s="343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467</v>
      </c>
      <c r="D35" s="1339" t="s">
        <v>1684</v>
      </c>
      <c r="E35" s="3431"/>
      <c r="F35" s="299" t="s">
        <v>342</v>
      </c>
      <c r="G35" s="970"/>
      <c r="H35" s="969" t="s">
        <v>343</v>
      </c>
      <c r="I35" s="309"/>
      <c r="J35" s="1912"/>
      <c r="K35" s="3404" t="s">
        <v>350</v>
      </c>
      <c r="L35" s="3404" t="s">
        <v>351</v>
      </c>
      <c r="M35" s="1218" t="s">
        <v>352</v>
      </c>
      <c r="N35" s="3404" t="s">
        <v>353</v>
      </c>
      <c r="O35" s="3404" t="s">
        <v>354</v>
      </c>
      <c r="P35" s="1912"/>
      <c r="V35" s="1912"/>
    </row>
    <row r="36" spans="1:26" ht="16.5" customHeight="1">
      <c r="A36" s="301" t="s">
        <v>344</v>
      </c>
      <c r="B36" s="302" t="s">
        <v>333</v>
      </c>
      <c r="C36" s="303" t="s">
        <v>345</v>
      </c>
      <c r="D36" s="303" t="s">
        <v>346</v>
      </c>
      <c r="E36" s="304" t="s">
        <v>347</v>
      </c>
      <c r="F36" s="309"/>
      <c r="G36" s="309"/>
      <c r="H36" s="309"/>
      <c r="I36" s="309"/>
      <c r="J36" s="1914"/>
      <c r="K36" s="3405"/>
      <c r="L36" s="3405"/>
      <c r="M36" s="1220" t="s">
        <v>355</v>
      </c>
      <c r="N36" s="3405"/>
      <c r="O36" s="3405"/>
      <c r="P36" s="1912"/>
      <c r="V36" s="1912"/>
    </row>
    <row r="37" spans="1:26" ht="16.5" customHeight="1" thickBot="1">
      <c r="A37" s="1214" t="s">
        <v>348</v>
      </c>
      <c r="B37" s="305"/>
      <c r="C37" s="292"/>
      <c r="D37" s="292"/>
      <c r="E37" s="293"/>
      <c r="F37" s="309"/>
      <c r="G37" s="309"/>
      <c r="H37" s="309"/>
      <c r="I37" s="309"/>
      <c r="J37" s="1914"/>
      <c r="K37" s="3406"/>
      <c r="L37" s="3406"/>
      <c r="M37" s="1221"/>
      <c r="N37" s="3406"/>
      <c r="O37" s="3406"/>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7009</v>
      </c>
      <c r="N38" s="1223">
        <f ca="1">C33</f>
        <v>14650</v>
      </c>
      <c r="O38" s="1224">
        <f ca="1">C32</f>
        <v>1286</v>
      </c>
      <c r="P38" s="1912"/>
      <c r="V38" s="1912"/>
    </row>
    <row r="39" spans="1:26" ht="16.5" customHeight="1" thickBot="1">
      <c r="A39" s="1219"/>
      <c r="B39" s="306"/>
      <c r="C39" s="307"/>
      <c r="D39" s="307"/>
      <c r="E39" s="308"/>
      <c r="F39" s="309"/>
      <c r="G39" s="309"/>
      <c r="H39" s="309"/>
      <c r="I39" s="309"/>
      <c r="J39" s="1914"/>
      <c r="K39" s="3444" t="str">
        <f>MID(A44,3,LEN(A44)-2)</f>
        <v>抵押价格</v>
      </c>
      <c r="L39" s="3445"/>
      <c r="M39" s="3445"/>
      <c r="N39" s="3446"/>
      <c r="O39" s="1341">
        <f ca="1">C44</f>
        <v>1286</v>
      </c>
      <c r="P39" s="1912"/>
      <c r="V39" s="1912"/>
    </row>
    <row r="40" spans="1:26" ht="19.5" thickBot="1">
      <c r="A40" s="104" t="s">
        <v>864</v>
      </c>
      <c r="B40" s="309"/>
      <c r="C40" s="309"/>
      <c r="D40" s="309"/>
      <c r="E40" s="309"/>
      <c r="F40" s="309"/>
      <c r="G40" s="309"/>
      <c r="H40" s="309"/>
      <c r="I40" s="309"/>
      <c r="J40" s="1914"/>
      <c r="K40" s="3444" t="str">
        <f t="shared" ref="K40:K41" si="0">MID(A45,3,LEN(A45)-2)</f>
        <v/>
      </c>
      <c r="L40" s="3445"/>
      <c r="M40" s="3445"/>
      <c r="N40" s="344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4" t="str">
        <f t="shared" si="0"/>
        <v/>
      </c>
      <c r="L41" s="3445"/>
      <c r="M41" s="3445"/>
      <c r="N41" s="3446"/>
      <c r="O41" s="1341" t="str">
        <f>C46</f>
        <v>——</v>
      </c>
      <c r="P41" s="1912"/>
      <c r="V41" s="1912"/>
    </row>
    <row r="42" spans="1:26" ht="29.25">
      <c r="A42" s="3388" t="s">
        <v>2056</v>
      </c>
      <c r="B42" s="3389"/>
      <c r="C42" s="262">
        <f ca="1">C32</f>
        <v>1286</v>
      </c>
      <c r="D42" s="315">
        <f ca="1">C33</f>
        <v>14650</v>
      </c>
      <c r="E42" s="315">
        <f ca="1">C34</f>
        <v>7009</v>
      </c>
      <c r="F42" s="316">
        <f ca="1">C35</f>
        <v>467</v>
      </c>
      <c r="G42" s="309"/>
      <c r="H42" s="309"/>
      <c r="I42" s="317"/>
      <c r="J42" s="1914"/>
      <c r="K42" s="1225" t="s">
        <v>361</v>
      </c>
      <c r="L42" s="1931" t="s">
        <v>362</v>
      </c>
      <c r="M42" s="1226" t="s">
        <v>363</v>
      </c>
      <c r="N42" s="1932" t="s">
        <v>364</v>
      </c>
      <c r="O42" s="1933" t="s">
        <v>365</v>
      </c>
      <c r="P42" s="1912"/>
      <c r="V42" s="1912"/>
    </row>
    <row r="43" spans="1:26" ht="18">
      <c r="A43" s="3399" t="s">
        <v>2710</v>
      </c>
      <c r="B43" s="3400"/>
      <c r="C43" s="262">
        <f>IF(H33="正常操作",G33+G34+G35,G34+G35)</f>
        <v>0</v>
      </c>
      <c r="D43" s="315" t="s">
        <v>43</v>
      </c>
      <c r="E43" s="315" t="s">
        <v>44</v>
      </c>
      <c r="F43" s="316" t="s">
        <v>44</v>
      </c>
      <c r="G43" s="2584" t="s">
        <v>943</v>
      </c>
      <c r="H43" s="309"/>
      <c r="I43" s="317"/>
      <c r="J43" s="1914"/>
      <c r="K43" s="1227" t="str">
        <f>C4</f>
        <v>基准地价</v>
      </c>
      <c r="L43" s="1228">
        <f ca="1">IF(L42="估价结果/万元",C19,C20)</f>
        <v>1286</v>
      </c>
      <c r="M43" s="1229">
        <f>C18</f>
        <v>1</v>
      </c>
      <c r="N43" s="1230">
        <f ca="1">IF(N42="测算结果/万元",G19,G20)</f>
        <v>1286</v>
      </c>
      <c r="O43" s="1231">
        <f ca="1">IF(O42="最终结果/万元",C32,C33)</f>
        <v>1286</v>
      </c>
      <c r="P43" s="1912"/>
      <c r="V43" s="1912"/>
    </row>
    <row r="44" spans="1:26" ht="18.75" thickBot="1">
      <c r="A44" s="3388" t="str">
        <f>IF(OR(项目基本情况!E8="抵押价格",项目基本情况!E8="已注销及未注销"),"3.抵押价格","——")</f>
        <v>3.抵押价格</v>
      </c>
      <c r="B44" s="3389"/>
      <c r="C44" s="262">
        <f ca="1">IF(A44="——","——",C42-C43)</f>
        <v>1286</v>
      </c>
      <c r="D44" s="315">
        <f ca="1">ROUND(C44*10000/'数据-汇总表'!E3,0)</f>
        <v>14650</v>
      </c>
      <c r="E44" s="315">
        <f ca="1">ROUND(C44*10000/'数据-汇总表'!D3,0)</f>
        <v>7009</v>
      </c>
      <c r="F44" s="316">
        <f ca="1">ROUND(C44/('数据-汇总表'!D3/666.67),0)</f>
        <v>467</v>
      </c>
      <c r="G44" s="309"/>
      <c r="H44" s="309"/>
      <c r="I44" s="317"/>
      <c r="J44" s="1914"/>
      <c r="K44" s="1232" t="str">
        <f>D4</f>
        <v>基准地价</v>
      </c>
      <c r="L44" s="1233">
        <f ca="1">IF(L42="估价结果/万元",D19,D20)</f>
        <v>1286</v>
      </c>
      <c r="M44" s="1234">
        <f>D18</f>
        <v>0</v>
      </c>
      <c r="N44" s="1235"/>
      <c r="O44" s="1236"/>
      <c r="P44" s="1912"/>
      <c r="V44" s="1912"/>
    </row>
    <row r="45" spans="1:26" ht="15">
      <c r="A45" s="3394" t="str">
        <f>IF(项目基本情况!E8="已注销及未注销","4.抵押担保权已注销时的抵押价格",IF(项目基本情况!E8="已注销","3.抵押担保权已注销时的抵押价格","——"))</f>
        <v>——</v>
      </c>
      <c r="B45" s="339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90" t="str">
        <f>IF(项目基本情况!E9="抵押净值",IF(A45="——","4.抵押净值","5.抵押净值"),"——")</f>
        <v>——</v>
      </c>
      <c r="B46" s="339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8" t="s">
        <v>374</v>
      </c>
      <c r="B63" s="3439"/>
      <c r="C63" s="3440"/>
      <c r="D63" s="339">
        <f ca="1">ROUND(C42*F63,0)</f>
        <v>1286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6" t="s">
        <v>378</v>
      </c>
      <c r="B64" s="3397"/>
      <c r="C64" s="3397"/>
      <c r="D64" s="3397"/>
      <c r="E64" s="3397"/>
      <c r="F64" s="3397"/>
      <c r="G64" s="339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2" t="s">
        <v>386</v>
      </c>
      <c r="B66" s="3393"/>
      <c r="C66" s="3393"/>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453" t="s">
        <v>385</v>
      </c>
      <c r="M66" s="3454"/>
      <c r="N66" s="2313"/>
      <c r="O66" s="2314"/>
      <c r="P66" s="2315"/>
      <c r="Q66" s="1912"/>
      <c r="R66" s="1912"/>
      <c r="S66" s="1912"/>
      <c r="T66" s="1912"/>
      <c r="U66" s="1912"/>
      <c r="V66" s="1912"/>
    </row>
    <row r="67" spans="1:22" ht="25.5" customHeight="1">
      <c r="A67" s="350" t="s">
        <v>389</v>
      </c>
      <c r="B67" s="3383" t="s">
        <v>390</v>
      </c>
      <c r="C67" s="3383"/>
      <c r="D67" s="351">
        <v>0</v>
      </c>
      <c r="E67" s="41" t="s">
        <v>391</v>
      </c>
      <c r="F67" s="62" t="s">
        <v>21</v>
      </c>
      <c r="G67" s="3441"/>
      <c r="H67" s="3006" t="s">
        <v>2963</v>
      </c>
      <c r="I67" s="3008"/>
      <c r="J67" s="1919"/>
      <c r="K67" s="1891">
        <v>2</v>
      </c>
      <c r="L67" s="3447" t="s">
        <v>388</v>
      </c>
      <c r="M67" s="3447"/>
      <c r="N67" s="1279">
        <f>'数据-取费表'!B2</f>
        <v>43686</v>
      </c>
      <c r="O67" s="1279"/>
      <c r="P67" s="1279"/>
      <c r="Q67" s="1912"/>
      <c r="R67" s="1912"/>
      <c r="S67" s="1912"/>
      <c r="T67" s="1912"/>
      <c r="U67" s="1912"/>
      <c r="V67" s="1912"/>
    </row>
    <row r="68" spans="1:22" ht="25.5" customHeight="1">
      <c r="A68" s="352"/>
      <c r="B68" s="3383" t="s">
        <v>393</v>
      </c>
      <c r="C68" s="3383"/>
      <c r="D68" s="353"/>
      <c r="E68" s="77"/>
      <c r="F68" s="354"/>
      <c r="G68" s="3442"/>
      <c r="H68" s="3007" t="s">
        <v>2964</v>
      </c>
      <c r="I68" s="3008"/>
      <c r="J68" s="1919"/>
      <c r="K68" s="1891">
        <v>3</v>
      </c>
      <c r="L68" s="3447" t="s">
        <v>392</v>
      </c>
      <c r="M68" s="3447"/>
      <c r="N68" s="1247">
        <f ca="1">C42</f>
        <v>1286</v>
      </c>
      <c r="O68" s="1247"/>
      <c r="P68" s="1247"/>
      <c r="Q68" s="1912"/>
      <c r="R68" s="1912"/>
      <c r="S68" s="1912"/>
      <c r="T68" s="1912"/>
      <c r="U68" s="1912"/>
      <c r="V68" s="1912"/>
    </row>
    <row r="69" spans="1:22" ht="23.45" customHeight="1">
      <c r="A69" s="355"/>
      <c r="B69" s="3383" t="s">
        <v>394</v>
      </c>
      <c r="C69" s="3383"/>
      <c r="D69" s="356"/>
      <c r="E69" s="73"/>
      <c r="F69" s="354"/>
      <c r="G69" s="3443"/>
      <c r="H69" s="3007" t="s">
        <v>2965</v>
      </c>
      <c r="I69" s="3008"/>
      <c r="J69" s="1919"/>
      <c r="K69" s="1248">
        <v>4</v>
      </c>
      <c r="L69" s="3457" t="s">
        <v>2859</v>
      </c>
      <c r="M69" s="3458"/>
      <c r="N69" s="1249">
        <f ca="1">C44</f>
        <v>1286</v>
      </c>
      <c r="O69" s="1249"/>
      <c r="P69" s="1249"/>
      <c r="Q69" s="1912"/>
      <c r="R69" s="1912"/>
      <c r="S69" s="1912"/>
      <c r="T69" s="1912"/>
      <c r="U69" s="1912"/>
      <c r="V69" s="1912"/>
    </row>
    <row r="70" spans="1:22" ht="24" customHeight="1">
      <c r="A70" s="357" t="s">
        <v>395</v>
      </c>
      <c r="B70" s="3383" t="s">
        <v>396</v>
      </c>
      <c r="C70" s="3383"/>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384" t="s">
        <v>2994</v>
      </c>
      <c r="C71" s="3385"/>
      <c r="D71" s="356">
        <f ca="1">ROUND(D63*'数据-取费表'!B41/(1+'数据-取费表'!C42),0)</f>
        <v>0</v>
      </c>
      <c r="E71" s="17" t="s">
        <v>397</v>
      </c>
      <c r="F71" s="358">
        <f>'数据-取费表'!B41</f>
        <v>0</v>
      </c>
      <c r="G71" s="359"/>
      <c r="H71" s="309"/>
      <c r="I71" s="1246"/>
      <c r="J71" s="1919"/>
      <c r="K71" s="2764" t="s">
        <v>398</v>
      </c>
      <c r="L71" s="3459" t="s">
        <v>399</v>
      </c>
      <c r="M71" s="3459"/>
      <c r="N71" s="2764" t="s">
        <v>400</v>
      </c>
      <c r="O71" s="2764" t="s">
        <v>401</v>
      </c>
      <c r="P71" s="2764" t="s">
        <v>402</v>
      </c>
      <c r="Q71" s="1912"/>
      <c r="R71" s="1912"/>
      <c r="S71" s="1912"/>
      <c r="T71" s="1912"/>
      <c r="U71" s="1912"/>
      <c r="V71" s="1912"/>
    </row>
    <row r="72" spans="1:22" ht="12" customHeight="1">
      <c r="A72" s="357" t="s">
        <v>405</v>
      </c>
      <c r="B72" s="3384" t="s">
        <v>2995</v>
      </c>
      <c r="C72" s="3385"/>
      <c r="D72" s="356">
        <f ca="1">C86</f>
        <v>0</v>
      </c>
      <c r="E72" s="73" t="s">
        <v>406</v>
      </c>
      <c r="F72" s="358">
        <f>'数据-取费表'!B41</f>
        <v>0</v>
      </c>
      <c r="G72" s="359"/>
      <c r="H72" s="1252"/>
      <c r="I72" s="1246"/>
      <c r="J72" s="1919"/>
      <c r="K72" s="1891">
        <v>1</v>
      </c>
      <c r="L72" s="3434" t="s">
        <v>404</v>
      </c>
      <c r="M72" s="3434"/>
      <c r="N72" s="1250" t="b">
        <f>D66</f>
        <v>0</v>
      </c>
      <c r="O72" s="1774" t="str">
        <f>E66</f>
        <v>销售额×税（费）率</v>
      </c>
      <c r="P72" s="1251">
        <f>F66</f>
        <v>0</v>
      </c>
      <c r="Q72" s="1912"/>
      <c r="R72" s="1912"/>
      <c r="S72" s="1912"/>
      <c r="T72" s="1912"/>
      <c r="U72" s="1912"/>
      <c r="V72" s="1912"/>
    </row>
    <row r="73" spans="1:22" ht="24" customHeight="1">
      <c r="A73" s="3429" t="s">
        <v>408</v>
      </c>
      <c r="B73" s="3393"/>
      <c r="C73" s="3393"/>
      <c r="D73" s="360">
        <f ca="1">IF(H73="个人住宅",0,ROUND(D63*I73,0))</f>
        <v>0</v>
      </c>
      <c r="E73" s="17" t="s">
        <v>409</v>
      </c>
      <c r="F73" s="358" t="str">
        <f>IF(H73="正常",I73,"免征")</f>
        <v>免征</v>
      </c>
      <c r="G73" s="359"/>
      <c r="H73" s="189"/>
      <c r="I73" s="358">
        <f>'数据-取费表'!B49</f>
        <v>0</v>
      </c>
      <c r="J73" s="1919"/>
      <c r="K73" s="1891">
        <v>2</v>
      </c>
      <c r="L73" s="3434" t="s">
        <v>407</v>
      </c>
      <c r="M73" s="3434"/>
      <c r="N73" s="1250">
        <f t="shared" ref="N73:P74" ca="1" si="1">D73</f>
        <v>0</v>
      </c>
      <c r="O73" s="1774" t="str">
        <f t="shared" si="1"/>
        <v>销售额×税（费）率</v>
      </c>
      <c r="P73" s="1251" t="str">
        <f t="shared" si="1"/>
        <v>免征</v>
      </c>
      <c r="Q73" s="1912"/>
      <c r="R73" s="1912"/>
      <c r="S73" s="1912"/>
      <c r="T73" s="1912"/>
      <c r="U73" s="1912"/>
      <c r="V73" s="1912"/>
    </row>
    <row r="74" spans="1:22" ht="24.75">
      <c r="A74" s="3429" t="s">
        <v>411</v>
      </c>
      <c r="B74" s="3393"/>
      <c r="C74" s="3393"/>
      <c r="D74" s="360" t="e">
        <f ca="1">IF(H74="个人住宅",D75,D76)</f>
        <v>#DIV/0!</v>
      </c>
      <c r="E74" s="17" t="s">
        <v>412</v>
      </c>
      <c r="F74" s="358" t="str">
        <f>IF(H74="正常",F76,"免征")</f>
        <v>免征</v>
      </c>
      <c r="G74" s="971" t="s">
        <v>413</v>
      </c>
      <c r="H74" s="361"/>
      <c r="I74" s="42"/>
      <c r="J74" s="1919"/>
      <c r="K74" s="1891">
        <v>3</v>
      </c>
      <c r="L74" s="3434" t="s">
        <v>410</v>
      </c>
      <c r="M74" s="3434"/>
      <c r="N74" s="1250" t="e">
        <f t="shared" ca="1" si="1"/>
        <v>#DIV/0!</v>
      </c>
      <c r="O74" s="1774" t="str">
        <f t="shared" si="1"/>
        <v>增值额×税（费）率</v>
      </c>
      <c r="P74" s="1253" t="str">
        <f t="shared" si="1"/>
        <v>免征</v>
      </c>
      <c r="Q74" s="1912"/>
      <c r="R74" s="1912"/>
      <c r="S74" s="1912"/>
      <c r="T74" s="1912"/>
      <c r="U74" s="1912"/>
      <c r="V74" s="1912"/>
    </row>
    <row r="75" spans="1:22" ht="12.75">
      <c r="A75" s="357" t="s">
        <v>414</v>
      </c>
      <c r="B75" s="3381" t="s">
        <v>415</v>
      </c>
      <c r="C75" s="3417"/>
      <c r="D75" s="362">
        <v>0</v>
      </c>
      <c r="E75" s="41" t="s">
        <v>416</v>
      </c>
      <c r="F75" s="363"/>
      <c r="G75" s="359"/>
      <c r="H75" s="42"/>
      <c r="I75" s="42"/>
      <c r="J75" s="1919"/>
      <c r="K75" s="2758">
        <f>IF(H77="非个人房产","",4)</f>
        <v>4</v>
      </c>
      <c r="L75" s="3434" t="str">
        <f>IF(H77="非个人房产","——","个人所得税")</f>
        <v>个人所得税</v>
      </c>
      <c r="M75" s="3434"/>
      <c r="N75" s="1254">
        <f>D77</f>
        <v>0</v>
      </c>
      <c r="O75" s="1787" t="str">
        <f>E77</f>
        <v>差额计税</v>
      </c>
      <c r="P75" s="1255">
        <f>F77</f>
        <v>0.01</v>
      </c>
      <c r="Q75" s="1912"/>
      <c r="R75" s="1912"/>
      <c r="S75" s="1912"/>
      <c r="T75" s="1912"/>
      <c r="U75" s="1912"/>
      <c r="V75" s="1912"/>
    </row>
    <row r="76" spans="1:22" ht="24.75">
      <c r="A76" s="357" t="s">
        <v>395</v>
      </c>
      <c r="B76" s="3381" t="s">
        <v>418</v>
      </c>
      <c r="C76" s="3382"/>
      <c r="D76" s="360" t="e">
        <f ca="1">IF(H76="转让取得",C99,C115)</f>
        <v>#DIV/0!</v>
      </c>
      <c r="E76" s="17" t="s">
        <v>419</v>
      </c>
      <c r="F76" s="53" t="s">
        <v>21</v>
      </c>
      <c r="G76" s="359"/>
      <c r="H76" s="361"/>
      <c r="I76" s="42"/>
      <c r="J76" s="1919"/>
      <c r="K76" s="2758" t="str">
        <f>IF(项目基本情况!K6="上海银行",IF(K75="",4,K75+1),"")</f>
        <v/>
      </c>
      <c r="L76" s="3449" t="str">
        <f>IF(项目基本情况!K6="上海银行","其他处置费用","")</f>
        <v/>
      </c>
      <c r="M76" s="3450"/>
      <c r="N76" s="1250" t="str">
        <f>IF(项目基本情况!K6="上海银行",N89,"")</f>
        <v/>
      </c>
      <c r="O76" s="3451" t="str">
        <f>IF(项目基本情况!K6="上海银行","包含处置中涉及的律师、诉讼、拍卖、评估等费用","")</f>
        <v/>
      </c>
      <c r="P76" s="3452"/>
      <c r="Q76" s="1912"/>
      <c r="R76" s="1912"/>
      <c r="S76" s="1912"/>
      <c r="T76" s="1912"/>
      <c r="U76" s="1912"/>
      <c r="V76" s="1912"/>
    </row>
    <row r="77" spans="1:22" ht="24.75" thickBot="1">
      <c r="A77" s="3436" t="s">
        <v>421</v>
      </c>
      <c r="B77" s="3437"/>
      <c r="C77" s="343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35">
        <f>IF(AND(K75="",K76=""),4,IF(项目基本情况!K6="上海银行",K76+1,K75+1))</f>
        <v>5</v>
      </c>
      <c r="L77" s="3434"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35"/>
      <c r="L78" s="3434"/>
      <c r="M78" s="2763" t="s">
        <v>420</v>
      </c>
      <c r="N78" s="1256"/>
      <c r="O78" s="1257" t="str">
        <f ca="1">NUMBERSTRING(INT(O77*10000),2)&amp;"元整"</f>
        <v>零元整</v>
      </c>
      <c r="P78" s="1258"/>
      <c r="Q78" s="1912"/>
      <c r="R78" s="1912"/>
      <c r="S78" s="1912"/>
      <c r="T78" s="1912"/>
      <c r="U78" s="1912"/>
      <c r="V78" s="1912"/>
    </row>
    <row r="79" spans="1:22" ht="13.5" thickBot="1">
      <c r="A79" s="3401" t="s">
        <v>422</v>
      </c>
      <c r="B79" s="3401"/>
      <c r="C79" s="3401"/>
      <c r="D79" s="3401"/>
      <c r="E79" s="3401"/>
      <c r="F79" s="42"/>
      <c r="G79" s="42"/>
      <c r="H79" s="991"/>
      <c r="I79" s="309"/>
      <c r="J79" s="1919"/>
      <c r="K79" s="3455">
        <f>K77+1</f>
        <v>6</v>
      </c>
      <c r="L79" s="3434" t="s">
        <v>2861</v>
      </c>
      <c r="M79" s="2763" t="s">
        <v>417</v>
      </c>
      <c r="N79" s="1256"/>
      <c r="O79" s="1257">
        <f ca="1">N69-O77</f>
        <v>1286</v>
      </c>
      <c r="P79" s="1258"/>
      <c r="Q79" s="1912"/>
      <c r="R79" s="1912"/>
      <c r="S79" s="1912"/>
      <c r="T79" s="1912"/>
      <c r="U79" s="1912"/>
      <c r="V79" s="1912"/>
    </row>
    <row r="80" spans="1:22" ht="25.5">
      <c r="A80" s="3402" t="s">
        <v>423</v>
      </c>
      <c r="B80" s="3403"/>
      <c r="C80" s="982"/>
      <c r="D80" s="982" t="s">
        <v>424</v>
      </c>
      <c r="E80" s="364" t="s">
        <v>425</v>
      </c>
      <c r="F80" s="42"/>
      <c r="G80" s="42"/>
      <c r="H80" s="991"/>
      <c r="I80" s="309"/>
      <c r="J80" s="1912"/>
      <c r="K80" s="3456"/>
      <c r="L80" s="3434"/>
      <c r="M80" s="2763" t="s">
        <v>420</v>
      </c>
      <c r="N80" s="1256"/>
      <c r="O80" s="1257" t="str">
        <f ca="1">NUMBERSTRING(INT(O79*10000),2)&amp;"元整"</f>
        <v>壹仟贰佰捌拾陆万元整</v>
      </c>
      <c r="P80" s="1258"/>
      <c r="Q80" s="1912"/>
      <c r="R80" s="1912"/>
      <c r="S80" s="1912"/>
      <c r="T80" s="1912"/>
      <c r="U80" s="1912"/>
      <c r="V80" s="1912"/>
    </row>
    <row r="81" spans="1:26" ht="13.5" thickBot="1">
      <c r="A81" s="375" t="s">
        <v>1814</v>
      </c>
      <c r="B81" s="365" t="s">
        <v>426</v>
      </c>
      <c r="C81" s="366">
        <f ca="1">ROUND((C82+C83)/(1+'数据-取费表'!C42),0)</f>
        <v>1286</v>
      </c>
      <c r="D81" s="367"/>
      <c r="E81" s="368"/>
      <c r="F81" s="42"/>
      <c r="G81" s="42"/>
      <c r="H81" s="991"/>
      <c r="I81" s="309"/>
      <c r="J81" s="1912"/>
      <c r="K81" s="2758">
        <f>K79+1</f>
        <v>7</v>
      </c>
      <c r="L81" s="3432" t="s">
        <v>2862</v>
      </c>
      <c r="M81" s="3433"/>
      <c r="N81" s="1260"/>
      <c r="O81" s="1261">
        <f ca="1">ROUND(O79*10000/'数据-汇总表'!E3,0)</f>
        <v>14650</v>
      </c>
      <c r="P81" s="1262"/>
      <c r="Q81" s="1912"/>
      <c r="R81" s="1912"/>
      <c r="S81" s="1912"/>
      <c r="T81" s="1912"/>
      <c r="U81" s="1912"/>
      <c r="V81" s="1912"/>
    </row>
    <row r="82" spans="1:26" ht="13.5" thickTop="1">
      <c r="A82" s="369" t="s">
        <v>1815</v>
      </c>
      <c r="B82" s="370" t="s">
        <v>427</v>
      </c>
      <c r="C82" s="371">
        <f ca="1">D63</f>
        <v>1286</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48" t="s">
        <v>2850</v>
      </c>
      <c r="L83" s="2769" t="s">
        <v>2851</v>
      </c>
      <c r="M83" s="2759">
        <f ca="1">IF(N69&gt;10000,N69*0.5%,IF(AND(N69&gt;1000,N69&lt;=10000),N69*1%,IF(AND(N69&gt;100,N69&lt;=1000),N69*3%,IF(AND(N69&gt;10,N69&lt;=100),N69*5%,N69*8%))))</f>
        <v>12.86</v>
      </c>
      <c r="N83" s="53">
        <f ca="1">ROUND(M83,1)</f>
        <v>12.9</v>
      </c>
      <c r="O83" s="2762"/>
      <c r="P83" s="1912"/>
      <c r="Q83" s="1912"/>
      <c r="R83" s="1912"/>
      <c r="S83" s="1912"/>
      <c r="T83" s="1912"/>
      <c r="U83" s="1912"/>
      <c r="V83" s="1912"/>
    </row>
    <row r="84" spans="1:26" ht="12.75">
      <c r="A84" s="375" t="s">
        <v>1817</v>
      </c>
      <c r="B84" s="376" t="s">
        <v>429</v>
      </c>
      <c r="C84" s="377"/>
      <c r="D84" s="378" t="s">
        <v>19</v>
      </c>
      <c r="E84" s="2787" t="s">
        <v>2905</v>
      </c>
      <c r="F84" s="42"/>
      <c r="G84" s="42"/>
      <c r="H84" s="991"/>
      <c r="I84" s="309"/>
      <c r="J84" s="1912"/>
      <c r="K84" s="3448"/>
      <c r="L84" s="2769" t="s">
        <v>2852</v>
      </c>
      <c r="M84" s="2759">
        <f ca="1">IF(N69&gt;2000,N69*0.5%,IF(AND(N69&gt;1000,N69&lt;=2000),N69*0.6%,IF(AND(N69&gt;500,N69&lt;=1000),N69*0.7%,IF(AND(N69&gt;200,N69&lt;=500),N69*0.8%,IF(AND(N69&gt;100,N69&lt;=200),N69*0.9%,IF(AND(N69&gt;50,N69&lt;=100),N69*1%,IF(AND(N69&gt;20,N69&lt;=50),N69*1.5%,IF(AND(N69&gt;10,N69&lt;=20),N69*2%,IF(AND(N69&gt;1,N69&lt;=10),N69*2.5%)))))))))</f>
        <v>7.7160000000000002</v>
      </c>
      <c r="N84" s="53">
        <f t="shared" ref="N84:N85" ca="1" si="2">ROUND(M84,1)</f>
        <v>7.7</v>
      </c>
      <c r="O84" s="1912" t="s">
        <v>2853</v>
      </c>
      <c r="P84" s="1912"/>
      <c r="Q84" s="1912"/>
      <c r="R84" s="1912"/>
      <c r="S84" s="1912"/>
      <c r="T84" s="1912"/>
      <c r="U84" s="1912"/>
      <c r="V84" s="1912"/>
    </row>
    <row r="85" spans="1:26" ht="12.75">
      <c r="A85" s="375" t="s">
        <v>1818</v>
      </c>
      <c r="B85" s="376" t="s">
        <v>430</v>
      </c>
      <c r="C85" s="379">
        <f ca="1">C81-C84</f>
        <v>1286</v>
      </c>
      <c r="D85" s="372" t="s">
        <v>19</v>
      </c>
      <c r="E85" s="373"/>
      <c r="F85" s="42"/>
      <c r="G85" s="42"/>
      <c r="H85" s="991"/>
      <c r="I85" s="309"/>
      <c r="J85" s="1912"/>
      <c r="K85" s="3448"/>
      <c r="L85" s="2769" t="s">
        <v>2854</v>
      </c>
      <c r="M85" s="2759">
        <f ca="1">IF(N69&gt;1000,N69*0.1%,IF(AND(N69&gt;500,N69&lt;=1000),N69*0.5%,IF(AND(N69&gt;50,N69&lt;=500),N69*1%,IF(AND(N69&gt;1,N69&lt;=50),N69*1.5%))))</f>
        <v>1.286</v>
      </c>
      <c r="N85" s="53">
        <f t="shared" ca="1" si="2"/>
        <v>1.3</v>
      </c>
      <c r="O85" s="1912" t="s">
        <v>2853</v>
      </c>
      <c r="P85" s="1912"/>
      <c r="Q85" s="1912"/>
      <c r="R85" s="1912"/>
      <c r="S85" s="1912"/>
      <c r="T85" s="1912"/>
      <c r="U85" s="1912"/>
      <c r="V85" s="1912"/>
    </row>
    <row r="86" spans="1:26" ht="13.5" thickBot="1">
      <c r="A86" s="380" t="s">
        <v>1819</v>
      </c>
      <c r="B86" s="381" t="s">
        <v>431</v>
      </c>
      <c r="C86" s="382">
        <f ca="1">IF(C85&lt;=0,0,ROUND(C85*D86,0))</f>
        <v>0</v>
      </c>
      <c r="D86" s="383">
        <f>'数据-取费表'!B41</f>
        <v>0</v>
      </c>
      <c r="E86" s="384"/>
      <c r="F86" s="42"/>
      <c r="G86" s="42"/>
      <c r="H86" s="991"/>
      <c r="I86" s="309"/>
      <c r="J86" s="1912"/>
      <c r="K86" s="3448"/>
      <c r="L86" s="2769" t="s">
        <v>2855</v>
      </c>
      <c r="M86" s="2759">
        <f ca="1">N69*0.5%</f>
        <v>6.43</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8"/>
      <c r="L87" s="2769" t="s">
        <v>2857</v>
      </c>
      <c r="M87" s="2759">
        <f ca="1">IF(N69&gt;=10000,(8.25+(N69-10000)*0.01%),IF(AND(N69&gt;=8000,N69&lt;10000),(7.85+(N69-8000)*0.02%),IF(AND(N69&gt;=5000,N69&lt;8000),(6.65+(N69-5000)*0.04%),IF(AND(N69&gt;=2000,N69&lt;5000),(4.25+(PN69-2000)*0.08%),IF(AND(N69&gt;=1000,N69&lt;2000),(2.75+(N69-1000)*0.15%),IF(AND(N69&gt;=100,N69&lt;1000),(0.5+(N69-100)*0.25%),IF(AND(N69&gt;0,N69&lt;100),N69*0.5%)))))))</f>
        <v>3.1789999999999998</v>
      </c>
      <c r="N87" s="53">
        <f ca="1">ROUND(M87*0.9,1)</f>
        <v>2.9</v>
      </c>
      <c r="O87" s="2762"/>
      <c r="P87" s="1912"/>
      <c r="Q87" s="1912"/>
      <c r="R87" s="1912"/>
      <c r="S87" s="1912"/>
      <c r="T87" s="1912"/>
      <c r="U87" s="1912"/>
      <c r="V87" s="1912"/>
      <c r="W87" s="290"/>
      <c r="X87" s="290"/>
      <c r="Y87" s="290"/>
      <c r="Z87" s="290"/>
    </row>
    <row r="88" spans="1:26" s="1268" customFormat="1" ht="15" thickBot="1">
      <c r="A88" s="3427" t="s">
        <v>432</v>
      </c>
      <c r="B88" s="3428"/>
      <c r="C88" s="3428"/>
      <c r="D88" s="3428"/>
      <c r="E88" s="3428"/>
      <c r="F88" s="3428"/>
      <c r="G88" s="3428"/>
      <c r="H88" s="3428"/>
      <c r="I88" s="1269"/>
      <c r="J88" s="1920"/>
      <c r="K88" s="3448"/>
      <c r="L88" s="2769" t="s">
        <v>2858</v>
      </c>
      <c r="M88" s="2759">
        <f ca="1">IF(N69&gt;10000,N69*0.5%,IF(AND(N69&gt;5000,N69&lt;=10000),N69*1%,IF(AND(N69&gt;1000,N69&lt;=5000),N69*2%,IF(AND(N69&gt;200,N69&lt;=1000),N69*3%,N69*5%))))</f>
        <v>25.72</v>
      </c>
      <c r="N88" s="53">
        <f ca="1">ROUND(M88,1)</f>
        <v>25.7</v>
      </c>
      <c r="O88" s="2762"/>
      <c r="P88" s="1917"/>
      <c r="Q88" s="1917"/>
      <c r="R88" s="1917"/>
      <c r="S88" s="1917"/>
      <c r="T88" s="1917"/>
      <c r="U88" s="1917"/>
      <c r="V88" s="1917"/>
      <c r="W88" s="1921"/>
      <c r="X88" s="1921"/>
      <c r="Y88" s="1921"/>
      <c r="Z88" s="1921"/>
    </row>
    <row r="89" spans="1:26" s="1268" customFormat="1" ht="14.25">
      <c r="A89" s="3402" t="s">
        <v>423</v>
      </c>
      <c r="B89" s="3403"/>
      <c r="C89" s="982"/>
      <c r="D89" s="982" t="s">
        <v>424</v>
      </c>
      <c r="E89" s="385" t="s">
        <v>433</v>
      </c>
      <c r="F89" s="386"/>
      <c r="G89" s="386"/>
      <c r="H89" s="387"/>
      <c r="I89" s="1270"/>
      <c r="J89" s="1922"/>
      <c r="K89" s="3448"/>
      <c r="L89" s="2769" t="s">
        <v>27</v>
      </c>
      <c r="M89" s="2760"/>
      <c r="N89" s="53">
        <f ca="1">ROUND(SUM(N83:N88),0)</f>
        <v>51</v>
      </c>
      <c r="O89" s="2770">
        <f ca="1">N89/N69</f>
        <v>3.9657853810264383E-2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1286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4" t="s">
        <v>441</v>
      </c>
      <c r="F94" s="3383"/>
      <c r="G94" s="3383"/>
      <c r="H94" s="342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418" t="s">
        <v>2413</v>
      </c>
      <c r="F96" s="3419"/>
      <c r="G96" s="3419"/>
      <c r="H96" s="342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1286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7" t="s">
        <v>448</v>
      </c>
      <c r="B101" s="3428"/>
      <c r="C101" s="3428"/>
      <c r="D101" s="3428"/>
      <c r="E101" s="3428"/>
      <c r="F101" s="3428"/>
      <c r="G101" s="3428"/>
      <c r="H101" s="342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2" t="s">
        <v>423</v>
      </c>
      <c r="B102" s="340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1286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78" t="s">
        <v>2958</v>
      </c>
      <c r="H108" s="3379"/>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419"/>
      <c r="G109" s="341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419"/>
      <c r="G110" s="3419"/>
      <c r="H110" s="3420"/>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418" t="s">
        <v>2413</v>
      </c>
      <c r="F111" s="3419"/>
      <c r="G111" s="3419"/>
      <c r="H111" s="342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419"/>
      <c r="G112" s="3419"/>
      <c r="H112" s="342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1286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69" t="s">
        <v>516</v>
      </c>
      <c r="D6" s="3470"/>
      <c r="E6" s="3469" t="s">
        <v>517</v>
      </c>
      <c r="F6" s="3470"/>
      <c r="G6" s="3469" t="s">
        <v>518</v>
      </c>
      <c r="H6" s="3470"/>
      <c r="I6" s="3469" t="s">
        <v>519</v>
      </c>
      <c r="J6" s="3470"/>
      <c r="K6" s="508" t="s">
        <v>520</v>
      </c>
      <c r="L6" s="2016"/>
      <c r="M6" s="2015"/>
      <c r="N6" s="2015"/>
      <c r="O6" s="2017"/>
      <c r="P6" s="3471" t="s">
        <v>521</v>
      </c>
      <c r="Q6" s="3472"/>
      <c r="R6" s="3477" t="s">
        <v>517</v>
      </c>
      <c r="S6" s="3478"/>
      <c r="T6" s="3477" t="s">
        <v>518</v>
      </c>
      <c r="U6" s="3478"/>
      <c r="V6" s="3464" t="s">
        <v>519</v>
      </c>
      <c r="W6" s="3464"/>
      <c r="X6" s="1502"/>
      <c r="Y6" s="3477" t="s">
        <v>521</v>
      </c>
      <c r="Z6" s="3478"/>
      <c r="AA6" s="3466" t="s">
        <v>517</v>
      </c>
      <c r="AB6" s="3467" t="s">
        <v>518</v>
      </c>
      <c r="AC6" s="3466" t="s">
        <v>519</v>
      </c>
    </row>
    <row r="7" spans="1:30" ht="20.25">
      <c r="A7" s="509"/>
      <c r="B7" s="510"/>
      <c r="C7" s="3485" t="s">
        <v>2894</v>
      </c>
      <c r="D7" s="3486"/>
      <c r="E7" s="3485" t="s">
        <v>2895</v>
      </c>
      <c r="F7" s="3486"/>
      <c r="G7" s="3485" t="s">
        <v>2896</v>
      </c>
      <c r="H7" s="3486"/>
      <c r="I7" s="3485" t="s">
        <v>2897</v>
      </c>
      <c r="J7" s="3486"/>
      <c r="K7" s="508"/>
      <c r="L7" s="2016"/>
      <c r="M7" s="2015"/>
      <c r="N7" s="2015"/>
      <c r="O7" s="2017"/>
      <c r="P7" s="3473"/>
      <c r="Q7" s="3474"/>
      <c r="R7" s="3479"/>
      <c r="S7" s="3480"/>
      <c r="T7" s="3479"/>
      <c r="U7" s="3480"/>
      <c r="V7" s="3464"/>
      <c r="W7" s="3464"/>
      <c r="X7" s="1502"/>
      <c r="Y7" s="3479"/>
      <c r="Z7" s="3480"/>
      <c r="AA7" s="3467"/>
      <c r="AB7" s="3467"/>
      <c r="AC7" s="3467"/>
    </row>
    <row r="8" spans="1:30" ht="21" thickBot="1">
      <c r="A8" s="509"/>
      <c r="B8" s="510"/>
      <c r="C8" s="3487" t="s">
        <v>2898</v>
      </c>
      <c r="D8" s="3488"/>
      <c r="E8" s="3487" t="s">
        <v>2898</v>
      </c>
      <c r="F8" s="3488"/>
      <c r="G8" s="3483" t="s">
        <v>2898</v>
      </c>
      <c r="H8" s="3484"/>
      <c r="I8" s="3483" t="s">
        <v>2898</v>
      </c>
      <c r="J8" s="3484"/>
      <c r="K8" s="508" t="s">
        <v>522</v>
      </c>
      <c r="L8" s="2016"/>
      <c r="M8" s="2015"/>
      <c r="N8" s="2015"/>
      <c r="O8" s="2017"/>
      <c r="P8" s="3475"/>
      <c r="Q8" s="3476"/>
      <c r="R8" s="3479"/>
      <c r="S8" s="3480"/>
      <c r="T8" s="3481"/>
      <c r="U8" s="3482"/>
      <c r="V8" s="3464"/>
      <c r="W8" s="3464"/>
      <c r="X8" s="1502"/>
      <c r="Y8" s="3481"/>
      <c r="Z8" s="3482"/>
      <c r="AA8" s="3468"/>
      <c r="AB8" s="3468"/>
      <c r="AC8" s="3468"/>
    </row>
    <row r="9" spans="1:30" s="1203" customFormat="1" ht="21" thickBot="1">
      <c r="A9" s="2630"/>
      <c r="B9" s="2637" t="s">
        <v>523</v>
      </c>
      <c r="C9" s="2629">
        <f>'数据-取费表'!B2</f>
        <v>43686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94" t="s">
        <v>524</v>
      </c>
      <c r="Q9" s="3496"/>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3" t="s">
        <v>529</v>
      </c>
      <c r="Q11" s="1134" t="str">
        <f t="shared" ref="Q11:Q17" si="6">B11</f>
        <v>用途</v>
      </c>
      <c r="R11" s="1503" t="s">
        <v>8</v>
      </c>
      <c r="S11" s="1504">
        <f t="shared" si="0"/>
        <v>100</v>
      </c>
      <c r="T11" s="1503" t="s">
        <v>8</v>
      </c>
      <c r="U11" s="1504">
        <f t="shared" si="1"/>
        <v>100</v>
      </c>
      <c r="V11" s="1503" t="s">
        <v>8</v>
      </c>
      <c r="W11" s="1504">
        <f t="shared" si="2"/>
        <v>100</v>
      </c>
      <c r="X11" s="1505"/>
      <c r="Y11" s="340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63"/>
      <c r="Q12" s="1134" t="str">
        <f t="shared" si="6"/>
        <v>土地使用年限（年）</v>
      </c>
      <c r="R12" s="1503" t="s">
        <v>8</v>
      </c>
      <c r="S12" s="1504" t="e">
        <f t="shared" si="0"/>
        <v>#DIV/0!</v>
      </c>
      <c r="T12" s="1503" t="s">
        <v>8</v>
      </c>
      <c r="U12" s="1504" t="e">
        <f t="shared" si="1"/>
        <v>#DIV/0!</v>
      </c>
      <c r="V12" s="1503" t="s">
        <v>8</v>
      </c>
      <c r="W12" s="1504" t="e">
        <f t="shared" si="2"/>
        <v>#DIV/0!</v>
      </c>
      <c r="X12" s="1505"/>
      <c r="Y12" s="3409"/>
      <c r="Z12" s="1133" t="str">
        <f t="shared" si="7"/>
        <v>土地使用年限（年）</v>
      </c>
      <c r="AA12" s="1506" t="e">
        <f t="shared" si="3"/>
        <v>#DIV/0!</v>
      </c>
      <c r="AB12" s="1506" t="e">
        <f t="shared" si="4"/>
        <v>#DIV/0!</v>
      </c>
      <c r="AC12" s="1506" t="e">
        <f t="shared" si="5"/>
        <v>#DIV/0!</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63"/>
      <c r="Q13" s="1134" t="str">
        <f t="shared" si="6"/>
        <v>容积率</v>
      </c>
      <c r="R13" s="1503" t="s">
        <v>8</v>
      </c>
      <c r="S13" s="1504" t="e">
        <f t="shared" si="0"/>
        <v>#N/A</v>
      </c>
      <c r="T13" s="1503" t="s">
        <v>8</v>
      </c>
      <c r="U13" s="1504" t="e">
        <f t="shared" si="1"/>
        <v>#N/A</v>
      </c>
      <c r="V13" s="1503" t="s">
        <v>8</v>
      </c>
      <c r="W13" s="1504" t="e">
        <f t="shared" si="2"/>
        <v>#N/A</v>
      </c>
      <c r="X13" s="1505"/>
      <c r="Y13" s="3409"/>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3"/>
      <c r="Q14" s="1134" t="str">
        <f t="shared" si="6"/>
        <v>配建</v>
      </c>
      <c r="R14" s="1503" t="s">
        <v>8</v>
      </c>
      <c r="S14" s="1504">
        <f t="shared" si="0"/>
        <v>100</v>
      </c>
      <c r="T14" s="1503" t="s">
        <v>8</v>
      </c>
      <c r="U14" s="1504">
        <f t="shared" si="1"/>
        <v>100</v>
      </c>
      <c r="V14" s="1503" t="s">
        <v>8</v>
      </c>
      <c r="W14" s="1504">
        <f t="shared" si="2"/>
        <v>100</v>
      </c>
      <c r="X14" s="1505"/>
      <c r="Y14" s="340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3"/>
      <c r="Q15" s="1134">
        <f t="shared" si="6"/>
        <v>111</v>
      </c>
      <c r="R15" s="1503" t="s">
        <v>8</v>
      </c>
      <c r="S15" s="1504">
        <f t="shared" si="0"/>
        <v>100</v>
      </c>
      <c r="T15" s="1503" t="s">
        <v>8</v>
      </c>
      <c r="U15" s="1504">
        <f t="shared" si="1"/>
        <v>100</v>
      </c>
      <c r="V15" s="1503" t="s">
        <v>8</v>
      </c>
      <c r="W15" s="1504">
        <f t="shared" si="2"/>
        <v>100</v>
      </c>
      <c r="X15" s="1505"/>
      <c r="Y15" s="340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3"/>
      <c r="Q16" s="1134">
        <f t="shared" si="6"/>
        <v>111</v>
      </c>
      <c r="R16" s="1503" t="s">
        <v>8</v>
      </c>
      <c r="S16" s="1504">
        <f t="shared" si="0"/>
        <v>100</v>
      </c>
      <c r="T16" s="1503" t="s">
        <v>8</v>
      </c>
      <c r="U16" s="1504">
        <f t="shared" si="1"/>
        <v>100</v>
      </c>
      <c r="V16" s="1503" t="s">
        <v>8</v>
      </c>
      <c r="W16" s="1504">
        <f t="shared" si="2"/>
        <v>100</v>
      </c>
      <c r="X16" s="1505"/>
      <c r="Y16" s="3409"/>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97" t="s">
        <v>534</v>
      </c>
      <c r="Q17" s="1507" t="str">
        <f t="shared" si="6"/>
        <v>居住社区成熟度</v>
      </c>
      <c r="R17" s="1508" t="s">
        <v>8</v>
      </c>
      <c r="S17" s="1509">
        <f t="shared" si="0"/>
        <v>100</v>
      </c>
      <c r="T17" s="1508" t="s">
        <v>8</v>
      </c>
      <c r="U17" s="1509">
        <f t="shared" si="1"/>
        <v>100</v>
      </c>
      <c r="V17" s="1508" t="s">
        <v>8</v>
      </c>
      <c r="W17" s="1509">
        <f t="shared" si="2"/>
        <v>100</v>
      </c>
      <c r="X17" s="1502"/>
      <c r="Y17" s="3497"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98"/>
      <c r="Q18" s="1507"/>
      <c r="R18" s="1508"/>
      <c r="S18" s="1509"/>
      <c r="T18" s="1508"/>
      <c r="U18" s="1509"/>
      <c r="V18" s="1508"/>
      <c r="W18" s="1509"/>
      <c r="X18" s="1502"/>
      <c r="Y18" s="3498"/>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8"/>
      <c r="Q19" s="1507" t="str">
        <f>B19</f>
        <v>商业繁华度</v>
      </c>
      <c r="R19" s="1508" t="s">
        <v>8</v>
      </c>
      <c r="S19" s="1509">
        <f>F19</f>
        <v>100</v>
      </c>
      <c r="T19" s="1508" t="s">
        <v>8</v>
      </c>
      <c r="U19" s="1509">
        <f>H19</f>
        <v>100</v>
      </c>
      <c r="V19" s="1508" t="s">
        <v>8</v>
      </c>
      <c r="W19" s="1509">
        <f>J19</f>
        <v>100</v>
      </c>
      <c r="X19" s="1502"/>
      <c r="Y19" s="3498"/>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98"/>
      <c r="Q20" s="1507"/>
      <c r="R20" s="1508"/>
      <c r="S20" s="1509"/>
      <c r="T20" s="1508"/>
      <c r="U20" s="1509"/>
      <c r="V20" s="1508"/>
      <c r="W20" s="1509"/>
      <c r="X20" s="1502"/>
      <c r="Y20" s="3498"/>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8"/>
      <c r="Q21" s="1507" t="str">
        <f>B21</f>
        <v>办公集聚程度</v>
      </c>
      <c r="R21" s="1508" t="s">
        <v>8</v>
      </c>
      <c r="S21" s="1509">
        <f>F21</f>
        <v>100</v>
      </c>
      <c r="T21" s="1508" t="s">
        <v>8</v>
      </c>
      <c r="U21" s="1509">
        <f>H21</f>
        <v>100</v>
      </c>
      <c r="V21" s="1508" t="s">
        <v>8</v>
      </c>
      <c r="W21" s="1509">
        <f>J21</f>
        <v>100</v>
      </c>
      <c r="X21" s="1502"/>
      <c r="Y21" s="3498"/>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98"/>
      <c r="Q22" s="1507"/>
      <c r="R22" s="1508"/>
      <c r="S22" s="1509"/>
      <c r="T22" s="1508"/>
      <c r="U22" s="1509"/>
      <c r="V22" s="1508"/>
      <c r="W22" s="1509"/>
      <c r="X22" s="1502"/>
      <c r="Y22" s="3498"/>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98"/>
      <c r="Q23" s="1507" t="str">
        <f>B23</f>
        <v>交通便捷度</v>
      </c>
      <c r="R23" s="1508" t="s">
        <v>8</v>
      </c>
      <c r="S23" s="1509">
        <f>F23</f>
        <v>100</v>
      </c>
      <c r="T23" s="1508" t="s">
        <v>8</v>
      </c>
      <c r="U23" s="1509">
        <f>H23</f>
        <v>100</v>
      </c>
      <c r="V23" s="1508" t="s">
        <v>8</v>
      </c>
      <c r="W23" s="1509">
        <f>J23</f>
        <v>100</v>
      </c>
      <c r="X23" s="1502"/>
      <c r="Y23" s="3498"/>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98"/>
      <c r="Q24" s="1507"/>
      <c r="R24" s="1508"/>
      <c r="S24" s="1509"/>
      <c r="T24" s="1508"/>
      <c r="U24" s="1509"/>
      <c r="V24" s="1508"/>
      <c r="W24" s="1509"/>
      <c r="X24" s="1502"/>
      <c r="Y24" s="349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8"/>
      <c r="Q25" s="1507" t="str">
        <f t="shared" ref="Q25:Q39" si="8">B25</f>
        <v>区域土地利用方向</v>
      </c>
      <c r="R25" s="1508" t="s">
        <v>8</v>
      </c>
      <c r="S25" s="1509">
        <f>F25</f>
        <v>100</v>
      </c>
      <c r="T25" s="1508" t="s">
        <v>8</v>
      </c>
      <c r="U25" s="1509">
        <f>H25</f>
        <v>100</v>
      </c>
      <c r="V25" s="1508" t="s">
        <v>8</v>
      </c>
      <c r="W25" s="1509">
        <f>J25</f>
        <v>100</v>
      </c>
      <c r="X25" s="1502"/>
      <c r="Y25" s="349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98"/>
      <c r="Q26" s="1507"/>
      <c r="R26" s="1508"/>
      <c r="S26" s="1509"/>
      <c r="T26" s="1508"/>
      <c r="U26" s="1509"/>
      <c r="V26" s="1508"/>
      <c r="W26" s="1509"/>
      <c r="X26" s="1502"/>
      <c r="Y26" s="3498"/>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8"/>
      <c r="Q27" s="1507" t="str">
        <f t="shared" si="8"/>
        <v>自然及人文环境状况</v>
      </c>
      <c r="R27" s="1508" t="s">
        <v>8</v>
      </c>
      <c r="S27" s="1509">
        <f>F27</f>
        <v>100</v>
      </c>
      <c r="T27" s="1508" t="s">
        <v>8</v>
      </c>
      <c r="U27" s="1509">
        <f>H27</f>
        <v>100</v>
      </c>
      <c r="V27" s="1508" t="s">
        <v>8</v>
      </c>
      <c r="W27" s="1509">
        <f>J27</f>
        <v>100</v>
      </c>
      <c r="X27" s="1502"/>
      <c r="Y27" s="3498"/>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98"/>
      <c r="Q28" s="1507"/>
      <c r="R28" s="1508"/>
      <c r="S28" s="1509"/>
      <c r="T28" s="1508"/>
      <c r="U28" s="1509"/>
      <c r="V28" s="1508"/>
      <c r="W28" s="1509"/>
      <c r="X28" s="1502"/>
      <c r="Y28" s="3498"/>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8"/>
      <c r="Q29" s="1134" t="str">
        <f t="shared" si="8"/>
        <v>公共配套设施</v>
      </c>
      <c r="R29" s="1503" t="s">
        <v>8</v>
      </c>
      <c r="S29" s="1504">
        <f>F29</f>
        <v>100</v>
      </c>
      <c r="T29" s="1503" t="s">
        <v>8</v>
      </c>
      <c r="U29" s="1504">
        <f>H29</f>
        <v>100</v>
      </c>
      <c r="V29" s="1503" t="s">
        <v>8</v>
      </c>
      <c r="W29" s="1504">
        <f>J29</f>
        <v>100</v>
      </c>
      <c r="X29" s="1505"/>
      <c r="Y29" s="3498"/>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98"/>
      <c r="Q30" s="1134"/>
      <c r="R30" s="1503"/>
      <c r="S30" s="1504"/>
      <c r="T30" s="1503"/>
      <c r="U30" s="1504"/>
      <c r="V30" s="1503"/>
      <c r="W30" s="1504"/>
      <c r="X30" s="1505"/>
      <c r="Y30" s="3498"/>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8"/>
      <c r="Q31" s="2429" t="str">
        <f t="shared" ref="Q31" si="9">B31</f>
        <v>基础设施水平</v>
      </c>
      <c r="R31" s="1503" t="s">
        <v>8</v>
      </c>
      <c r="S31" s="1504">
        <f>F31</f>
        <v>100</v>
      </c>
      <c r="T31" s="1503" t="s">
        <v>8</v>
      </c>
      <c r="U31" s="1504">
        <f>H31</f>
        <v>100</v>
      </c>
      <c r="V31" s="1503" t="s">
        <v>8</v>
      </c>
      <c r="W31" s="1504">
        <f>J31</f>
        <v>100</v>
      </c>
      <c r="X31" s="1505"/>
      <c r="Y31" s="349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98"/>
      <c r="Q32" s="2429"/>
      <c r="R32" s="1503"/>
      <c r="S32" s="1504"/>
      <c r="T32" s="1503"/>
      <c r="U32" s="1504"/>
      <c r="V32" s="1503"/>
      <c r="W32" s="1504"/>
      <c r="X32" s="1505"/>
      <c r="Y32" s="349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8"/>
      <c r="Q34" s="1507" t="str">
        <f t="shared" si="8"/>
        <v>毗邻道路的类型与等级</v>
      </c>
      <c r="R34" s="1508" t="s">
        <v>8</v>
      </c>
      <c r="S34" s="1509">
        <f t="shared" si="10"/>
        <v>100</v>
      </c>
      <c r="T34" s="1508" t="s">
        <v>8</v>
      </c>
      <c r="U34" s="1509">
        <f t="shared" si="11"/>
        <v>100</v>
      </c>
      <c r="V34" s="1508" t="s">
        <v>8</v>
      </c>
      <c r="W34" s="1509">
        <f t="shared" si="12"/>
        <v>100</v>
      </c>
      <c r="X34" s="1502"/>
      <c r="Y34" s="349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98"/>
      <c r="Q35" s="1507"/>
      <c r="R35" s="1508"/>
      <c r="S35" s="1509"/>
      <c r="T35" s="1508"/>
      <c r="U35" s="1509"/>
      <c r="V35" s="1508"/>
      <c r="W35" s="1509"/>
      <c r="X35" s="1502"/>
      <c r="Y35" s="349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8"/>
      <c r="Q36" s="1507" t="str">
        <f t="shared" si="8"/>
        <v>土地级别</v>
      </c>
      <c r="R36" s="1508" t="s">
        <v>8</v>
      </c>
      <c r="S36" s="1509">
        <f t="shared" si="10"/>
        <v>100</v>
      </c>
      <c r="T36" s="1508" t="s">
        <v>8</v>
      </c>
      <c r="U36" s="1509">
        <f t="shared" si="11"/>
        <v>100</v>
      </c>
      <c r="V36" s="1508" t="s">
        <v>8</v>
      </c>
      <c r="W36" s="1509">
        <f t="shared" si="12"/>
        <v>100</v>
      </c>
      <c r="X36" s="1502"/>
      <c r="Y36" s="349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8"/>
      <c r="Q37" s="1507">
        <f t="shared" si="8"/>
        <v>111</v>
      </c>
      <c r="R37" s="1508" t="s">
        <v>8</v>
      </c>
      <c r="S37" s="1509">
        <f t="shared" si="10"/>
        <v>100</v>
      </c>
      <c r="T37" s="1508" t="s">
        <v>8</v>
      </c>
      <c r="U37" s="1509">
        <f t="shared" si="11"/>
        <v>100</v>
      </c>
      <c r="V37" s="1508" t="s">
        <v>8</v>
      </c>
      <c r="W37" s="1509">
        <f t="shared" si="12"/>
        <v>100</v>
      </c>
      <c r="X37" s="1502"/>
      <c r="Y37" s="349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9" t="s">
        <v>544</v>
      </c>
      <c r="Q38" s="1507">
        <f t="shared" si="8"/>
        <v>111</v>
      </c>
      <c r="R38" s="1508" t="s">
        <v>8</v>
      </c>
      <c r="S38" s="1509">
        <f t="shared" si="10"/>
        <v>100</v>
      </c>
      <c r="T38" s="1508" t="s">
        <v>8</v>
      </c>
      <c r="U38" s="1509">
        <f t="shared" si="11"/>
        <v>100</v>
      </c>
      <c r="V38" s="1508" t="s">
        <v>8</v>
      </c>
      <c r="W38" s="1509">
        <f t="shared" si="12"/>
        <v>100</v>
      </c>
      <c r="X38" s="1502"/>
      <c r="Y38" s="350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0"/>
      <c r="Q39" s="1507">
        <f t="shared" si="8"/>
        <v>111</v>
      </c>
      <c r="R39" s="1512" t="s">
        <v>8</v>
      </c>
      <c r="S39" s="1513">
        <f t="shared" si="10"/>
        <v>100</v>
      </c>
      <c r="T39" s="1512" t="s">
        <v>8</v>
      </c>
      <c r="U39" s="1513">
        <f t="shared" si="11"/>
        <v>100</v>
      </c>
      <c r="V39" s="1512" t="s">
        <v>8</v>
      </c>
      <c r="W39" s="1513">
        <f t="shared" si="12"/>
        <v>100</v>
      </c>
      <c r="X39" s="1514"/>
      <c r="Y39" s="3500"/>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00"/>
      <c r="Q40" s="1507" t="str">
        <f>B40</f>
        <v>宗地面积</v>
      </c>
      <c r="R40" s="1508" t="s">
        <v>8</v>
      </c>
      <c r="S40" s="1509" t="e">
        <f t="shared" si="10"/>
        <v>#N/A</v>
      </c>
      <c r="T40" s="1508" t="s">
        <v>8</v>
      </c>
      <c r="U40" s="1509" t="e">
        <f t="shared" si="11"/>
        <v>#N/A</v>
      </c>
      <c r="V40" s="1508" t="s">
        <v>8</v>
      </c>
      <c r="W40" s="1509" t="e">
        <f t="shared" si="12"/>
        <v>#N/A</v>
      </c>
      <c r="X40" s="1502"/>
      <c r="Y40" s="3500"/>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0"/>
      <c r="Q41" s="1507" t="str">
        <f t="shared" ref="Q41:Q47" si="14">B41</f>
        <v>宗地形状</v>
      </c>
      <c r="R41" s="1508" t="s">
        <v>8</v>
      </c>
      <c r="S41" s="1509">
        <f t="shared" si="10"/>
        <v>100</v>
      </c>
      <c r="T41" s="1508" t="s">
        <v>8</v>
      </c>
      <c r="U41" s="1509">
        <f t="shared" si="11"/>
        <v>100</v>
      </c>
      <c r="V41" s="1508" t="s">
        <v>8</v>
      </c>
      <c r="W41" s="1509">
        <f t="shared" si="12"/>
        <v>100</v>
      </c>
      <c r="X41" s="1502"/>
      <c r="Y41" s="350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0"/>
      <c r="Q42" s="1507" t="str">
        <f t="shared" si="14"/>
        <v>临街宽度及深度</v>
      </c>
      <c r="R42" s="1508" t="s">
        <v>8</v>
      </c>
      <c r="S42" s="1509">
        <f t="shared" si="10"/>
        <v>100</v>
      </c>
      <c r="T42" s="1508" t="s">
        <v>8</v>
      </c>
      <c r="U42" s="1509">
        <f t="shared" si="11"/>
        <v>100</v>
      </c>
      <c r="V42" s="1508" t="s">
        <v>8</v>
      </c>
      <c r="W42" s="1509">
        <f t="shared" si="12"/>
        <v>100</v>
      </c>
      <c r="X42" s="1502"/>
      <c r="Y42" s="3500"/>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00"/>
      <c r="Q43" s="1507" t="str">
        <f t="shared" si="14"/>
        <v>宗地开发程度</v>
      </c>
      <c r="R43" s="1503" t="s">
        <v>8</v>
      </c>
      <c r="S43" s="1504">
        <f t="shared" si="10"/>
        <v>100</v>
      </c>
      <c r="T43" s="1503" t="s">
        <v>8</v>
      </c>
      <c r="U43" s="1504">
        <f t="shared" si="11"/>
        <v>100</v>
      </c>
      <c r="V43" s="1503" t="s">
        <v>8</v>
      </c>
      <c r="W43" s="1504">
        <f t="shared" si="12"/>
        <v>100</v>
      </c>
      <c r="X43" s="1505"/>
      <c r="Y43" s="3500"/>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0" t="s">
        <v>544</v>
      </c>
      <c r="Q44" s="1507" t="str">
        <f t="shared" si="14"/>
        <v>工程地质条件</v>
      </c>
      <c r="R44" s="1508" t="s">
        <v>8</v>
      </c>
      <c r="S44" s="1509">
        <f t="shared" si="10"/>
        <v>100</v>
      </c>
      <c r="T44" s="1508" t="s">
        <v>8</v>
      </c>
      <c r="U44" s="1509">
        <f t="shared" si="11"/>
        <v>100</v>
      </c>
      <c r="V44" s="1508" t="s">
        <v>8</v>
      </c>
      <c r="W44" s="1509">
        <f t="shared" si="12"/>
        <v>100</v>
      </c>
      <c r="X44" s="1502"/>
      <c r="Y44" s="350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0"/>
      <c r="Q45" s="1507">
        <f t="shared" si="14"/>
        <v>111</v>
      </c>
      <c r="R45" s="1508" t="s">
        <v>8</v>
      </c>
      <c r="S45" s="1509">
        <f t="shared" si="10"/>
        <v>100</v>
      </c>
      <c r="T45" s="1508" t="s">
        <v>8</v>
      </c>
      <c r="U45" s="1509">
        <f t="shared" si="11"/>
        <v>100</v>
      </c>
      <c r="V45" s="1508" t="s">
        <v>8</v>
      </c>
      <c r="W45" s="1509">
        <f t="shared" si="12"/>
        <v>100</v>
      </c>
      <c r="X45" s="1502"/>
      <c r="Y45" s="350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0"/>
      <c r="Q46" s="1507">
        <f t="shared" si="14"/>
        <v>111</v>
      </c>
      <c r="R46" s="1508" t="s">
        <v>8</v>
      </c>
      <c r="S46" s="1509">
        <f t="shared" si="10"/>
        <v>100</v>
      </c>
      <c r="T46" s="1508" t="s">
        <v>8</v>
      </c>
      <c r="U46" s="1509">
        <f t="shared" si="11"/>
        <v>100</v>
      </c>
      <c r="V46" s="1508" t="s">
        <v>8</v>
      </c>
      <c r="W46" s="1509">
        <f t="shared" si="12"/>
        <v>100</v>
      </c>
      <c r="X46" s="1502"/>
      <c r="Y46" s="350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0"/>
      <c r="Q47" s="1507">
        <f t="shared" si="14"/>
        <v>111</v>
      </c>
      <c r="R47" s="1512" t="s">
        <v>8</v>
      </c>
      <c r="S47" s="1513">
        <f t="shared" si="10"/>
        <v>100</v>
      </c>
      <c r="T47" s="1512" t="s">
        <v>8</v>
      </c>
      <c r="U47" s="1513">
        <f t="shared" si="11"/>
        <v>100</v>
      </c>
      <c r="V47" s="1512" t="s">
        <v>8</v>
      </c>
      <c r="W47" s="1513">
        <f t="shared" si="12"/>
        <v>100</v>
      </c>
      <c r="X47" s="1514"/>
      <c r="Y47" s="3500"/>
      <c r="Z47" s="1515">
        <f t="shared" si="13"/>
        <v>111</v>
      </c>
      <c r="AA47" s="1511">
        <f t="shared" si="3"/>
        <v>1</v>
      </c>
      <c r="AB47" s="1511">
        <f t="shared" si="4"/>
        <v>1</v>
      </c>
      <c r="AC47" s="1511">
        <f t="shared" si="5"/>
        <v>1</v>
      </c>
    </row>
    <row r="48" spans="1:29" ht="20.25">
      <c r="A48" s="601" t="s">
        <v>550</v>
      </c>
      <c r="B48" s="602" t="s">
        <v>2899</v>
      </c>
      <c r="C48" s="603" t="s">
        <v>1</v>
      </c>
      <c r="D48" s="604"/>
      <c r="E48" s="605"/>
      <c r="F48" s="606"/>
      <c r="G48" s="607"/>
      <c r="H48" s="608"/>
      <c r="I48" s="605"/>
      <c r="J48" s="608"/>
      <c r="K48" s="1294"/>
      <c r="L48" s="2027"/>
      <c r="M48" s="2015"/>
      <c r="N48" s="2015"/>
      <c r="O48" s="2028"/>
      <c r="P48" s="3463" t="str">
        <f>A48</f>
        <v>成交单价</v>
      </c>
      <c r="Q48" s="3463"/>
      <c r="R48" s="3464">
        <f>E48</f>
        <v>0</v>
      </c>
      <c r="S48" s="3464"/>
      <c r="T48" s="3464">
        <f>G48</f>
        <v>0</v>
      </c>
      <c r="U48" s="3464"/>
      <c r="V48" s="3464">
        <f>I48</f>
        <v>0</v>
      </c>
      <c r="W48" s="3464"/>
      <c r="X48" s="1497"/>
      <c r="Y48" s="1516"/>
      <c r="Z48" s="1497"/>
      <c r="AA48" s="1497"/>
      <c r="AB48" s="1497"/>
      <c r="AC48" s="1497"/>
    </row>
    <row r="49" spans="1:29" ht="21"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63" t="str">
        <f>A49</f>
        <v>比较价格（元/平方米）</v>
      </c>
      <c r="Q49" s="3463"/>
      <c r="R49" s="3465" t="e">
        <f>ROUND(PRODUCT(R48,AA9:AA47),0)</f>
        <v>#DIV/0!</v>
      </c>
      <c r="S49" s="3465"/>
      <c r="T49" s="3465" t="e">
        <f>ROUND(PRODUCT(T48,AB9:AB47),0)</f>
        <v>#DIV/0!</v>
      </c>
      <c r="U49" s="3465"/>
      <c r="V49" s="3465" t="e">
        <f>ROUND(PRODUCT(V48,AC9:AC47),0)</f>
        <v>#DIV/0!</v>
      </c>
      <c r="W49" s="3465"/>
      <c r="X49" s="1497"/>
      <c r="Y49" s="1497"/>
      <c r="Z49" s="1497"/>
      <c r="AA49" s="1497"/>
      <c r="AB49" s="1497"/>
      <c r="AC49" s="1497"/>
    </row>
    <row r="50" spans="1:29" ht="21" thickBot="1">
      <c r="A50" s="613" t="s">
        <v>2900</v>
      </c>
      <c r="B50" s="614"/>
      <c r="C50" s="615" t="e">
        <f>R50</f>
        <v>#DIV/0!</v>
      </c>
      <c r="D50" s="615"/>
      <c r="E50" s="615"/>
      <c r="F50" s="615"/>
      <c r="G50" s="615"/>
      <c r="H50" s="615"/>
      <c r="I50" s="615"/>
      <c r="J50" s="615"/>
      <c r="K50" s="1295"/>
      <c r="L50" s="2027"/>
      <c r="M50" s="2015"/>
      <c r="N50" s="2015"/>
      <c r="O50" s="2028"/>
      <c r="P50" s="3460" t="str">
        <f>A50</f>
        <v>估价对象XX用房的比较价格（楼面单价，元/平方米）</v>
      </c>
      <c r="Q50" s="3461"/>
      <c r="R50" s="3462" t="e">
        <f>ROUND(IF(D49="简单平均",AVERAGE(R49:W49),R49*F49+T49*H49+V49*J49),0)</f>
        <v>#DIV/0!</v>
      </c>
      <c r="S50" s="3462"/>
      <c r="T50" s="3462"/>
      <c r="U50" s="3462"/>
      <c r="V50" s="3462"/>
      <c r="W50" s="346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9" t="s">
        <v>2269</v>
      </c>
      <c r="H57" s="349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877.81</v>
      </c>
      <c r="F58" s="628" t="e">
        <f t="shared" ref="F58:F67" si="15">ROUND(B58*E58/10000,0)</f>
        <v>#DIV/0!</v>
      </c>
      <c r="G58" s="3491"/>
      <c r="H58" s="349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0.6</v>
      </c>
      <c r="D59" s="2110">
        <v>0.25</v>
      </c>
      <c r="E59" s="631">
        <v>0</v>
      </c>
      <c r="F59" s="628" t="e">
        <f t="shared" si="15"/>
        <v>#DIV/0!</v>
      </c>
      <c r="G59" s="3493"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0.3</v>
      </c>
      <c r="D60" s="2110">
        <v>0.25</v>
      </c>
      <c r="E60" s="631">
        <v>0</v>
      </c>
      <c r="F60" s="628" t="e">
        <f t="shared" si="15"/>
        <v>#DIV/0!</v>
      </c>
      <c r="G60" s="3493"/>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0.2</v>
      </c>
      <c r="D61" s="2110">
        <v>0.25</v>
      </c>
      <c r="E61" s="631">
        <v>0</v>
      </c>
      <c r="F61" s="628" t="e">
        <f t="shared" si="15"/>
        <v>#DIV/0!</v>
      </c>
      <c r="G61" s="3493"/>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0.2</v>
      </c>
      <c r="D62" s="2110">
        <v>0.25</v>
      </c>
      <c r="E62" s="631">
        <v>0</v>
      </c>
      <c r="F62" s="628" t="e">
        <f t="shared" si="15"/>
        <v>#DIV/0!</v>
      </c>
      <c r="G62" s="3493"/>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2019-8-1</v>
      </c>
      <c r="D70" s="2517">
        <f>EDATE(C70,-3)</f>
        <v>43586</v>
      </c>
      <c r="E70" s="2517">
        <f t="shared" ref="E70:N70" si="18">EDATE(D70,-3)</f>
        <v>43497</v>
      </c>
      <c r="F70" s="2517">
        <f t="shared" si="18"/>
        <v>43405</v>
      </c>
      <c r="G70" s="2517">
        <f t="shared" si="18"/>
        <v>43313</v>
      </c>
      <c r="H70" s="2517">
        <f t="shared" si="18"/>
        <v>43221</v>
      </c>
      <c r="I70" s="2517">
        <f t="shared" si="18"/>
        <v>43132</v>
      </c>
      <c r="J70" s="2517">
        <f t="shared" si="18"/>
        <v>43040</v>
      </c>
      <c r="K70" s="2517">
        <f t="shared" si="18"/>
        <v>42948</v>
      </c>
      <c r="L70" s="2517">
        <f t="shared" si="18"/>
        <v>42856</v>
      </c>
      <c r="M70" s="2517">
        <f t="shared" si="18"/>
        <v>42767</v>
      </c>
      <c r="N70" s="2517">
        <f t="shared" si="18"/>
        <v>42675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2019-3</v>
      </c>
      <c r="D72" s="2519" t="str">
        <f>YEAR(D70)&amp;"-"&amp;ROUNDUP(MONTH(D70)/3,0)</f>
        <v>2019-2</v>
      </c>
      <c r="E72" s="2519" t="str">
        <f t="shared" ref="E72:N72" si="19">YEAR(E70)&amp;"-"&amp;ROUNDUP(MONTH(E70)/3,0)</f>
        <v>2019-1</v>
      </c>
      <c r="F72" s="2519" t="str">
        <f t="shared" si="19"/>
        <v>2018-4</v>
      </c>
      <c r="G72" s="2519" t="str">
        <f t="shared" si="19"/>
        <v>2018-3</v>
      </c>
      <c r="H72" s="2519" t="str">
        <f t="shared" si="19"/>
        <v>2018-2</v>
      </c>
      <c r="I72" s="2519" t="str">
        <f t="shared" si="19"/>
        <v>2018-1</v>
      </c>
      <c r="J72" s="2519" t="str">
        <f t="shared" si="19"/>
        <v>2017-4</v>
      </c>
      <c r="K72" s="2519" t="str">
        <f t="shared" si="19"/>
        <v>2017-3</v>
      </c>
      <c r="L72" s="2519" t="str">
        <f t="shared" si="19"/>
        <v>2017-2</v>
      </c>
      <c r="M72" s="2519" t="str">
        <f t="shared" si="19"/>
        <v>2017-1</v>
      </c>
      <c r="N72" s="2519" t="str">
        <f t="shared" si="19"/>
        <v>2016-4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北京市平均增长率2.07%</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69" t="s">
        <v>516</v>
      </c>
      <c r="D6" s="3470"/>
      <c r="E6" s="3503" t="s">
        <v>517</v>
      </c>
      <c r="F6" s="3504"/>
      <c r="G6" s="3469" t="s">
        <v>518</v>
      </c>
      <c r="H6" s="3470"/>
      <c r="I6" s="3469" t="s">
        <v>519</v>
      </c>
      <c r="J6" s="3470"/>
      <c r="K6" s="508" t="s">
        <v>520</v>
      </c>
      <c r="L6" s="2016"/>
      <c r="M6" s="2017"/>
      <c r="N6" s="2017"/>
      <c r="O6" s="2017"/>
      <c r="P6" s="3471" t="s">
        <v>521</v>
      </c>
      <c r="Q6" s="3472"/>
      <c r="R6" s="3477" t="s">
        <v>517</v>
      </c>
      <c r="S6" s="3478"/>
      <c r="T6" s="3477" t="s">
        <v>518</v>
      </c>
      <c r="U6" s="3478"/>
      <c r="V6" s="3464" t="s">
        <v>519</v>
      </c>
      <c r="W6" s="3464"/>
      <c r="X6" s="1502"/>
      <c r="Y6" s="3477" t="s">
        <v>521</v>
      </c>
      <c r="Z6" s="3478"/>
      <c r="AA6" s="3466" t="s">
        <v>517</v>
      </c>
      <c r="AB6" s="3467" t="s">
        <v>518</v>
      </c>
      <c r="AC6" s="3466" t="s">
        <v>519</v>
      </c>
    </row>
    <row r="7" spans="1:29" ht="15">
      <c r="A7" s="509"/>
      <c r="B7" s="510"/>
      <c r="C7" s="3485" t="s">
        <v>2894</v>
      </c>
      <c r="D7" s="3486"/>
      <c r="E7" s="3505" t="s">
        <v>2895</v>
      </c>
      <c r="F7" s="3506"/>
      <c r="G7" s="3485" t="s">
        <v>2896</v>
      </c>
      <c r="H7" s="3486"/>
      <c r="I7" s="3485" t="s">
        <v>2897</v>
      </c>
      <c r="J7" s="3486"/>
      <c r="K7" s="508"/>
      <c r="L7" s="2016"/>
      <c r="M7" s="2017"/>
      <c r="N7" s="2017"/>
      <c r="O7" s="2017"/>
      <c r="P7" s="3473"/>
      <c r="Q7" s="3474"/>
      <c r="R7" s="3479"/>
      <c r="S7" s="3480"/>
      <c r="T7" s="3479"/>
      <c r="U7" s="3480"/>
      <c r="V7" s="3464"/>
      <c r="W7" s="3464"/>
      <c r="X7" s="1502"/>
      <c r="Y7" s="3479"/>
      <c r="Z7" s="3480"/>
      <c r="AA7" s="3467"/>
      <c r="AB7" s="3467"/>
      <c r="AC7" s="3467"/>
    </row>
    <row r="8" spans="1:29" ht="15.75" thickBot="1">
      <c r="A8" s="511"/>
      <c r="B8" s="512"/>
      <c r="C8" s="3483" t="s">
        <v>2898</v>
      </c>
      <c r="D8" s="3484"/>
      <c r="E8" s="3501" t="s">
        <v>2898</v>
      </c>
      <c r="F8" s="3502"/>
      <c r="G8" s="3483" t="s">
        <v>2898</v>
      </c>
      <c r="H8" s="3484"/>
      <c r="I8" s="3483" t="s">
        <v>2898</v>
      </c>
      <c r="J8" s="3484"/>
      <c r="K8" s="508" t="s">
        <v>522</v>
      </c>
      <c r="L8" s="2016"/>
      <c r="M8" s="2017"/>
      <c r="N8" s="2017"/>
      <c r="O8" s="2017"/>
      <c r="P8" s="3475"/>
      <c r="Q8" s="3476"/>
      <c r="R8" s="3479"/>
      <c r="S8" s="3480"/>
      <c r="T8" s="3481"/>
      <c r="U8" s="3482"/>
      <c r="V8" s="3464"/>
      <c r="W8" s="3464"/>
      <c r="X8" s="1502"/>
      <c r="Y8" s="3481"/>
      <c r="Z8" s="3482"/>
      <c r="AA8" s="3468"/>
      <c r="AB8" s="3468"/>
      <c r="AC8" s="3468"/>
    </row>
    <row r="9" spans="1:29" s="1203" customFormat="1" ht="15.75" thickBot="1">
      <c r="A9" s="2630"/>
      <c r="B9" s="2637" t="s">
        <v>523</v>
      </c>
      <c r="C9" s="513">
        <f>'数据-取费表'!B2</f>
        <v>43686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4" t="s">
        <v>524</v>
      </c>
      <c r="Q9" s="3496"/>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3" t="s">
        <v>529</v>
      </c>
      <c r="Q11" s="1134" t="str">
        <f t="shared" ref="Q11:Q17" si="6">B11</f>
        <v>用途</v>
      </c>
      <c r="R11" s="1503" t="s">
        <v>8</v>
      </c>
      <c r="S11" s="1504">
        <f t="shared" si="0"/>
        <v>100</v>
      </c>
      <c r="T11" s="1503" t="s">
        <v>8</v>
      </c>
      <c r="U11" s="1504">
        <f t="shared" si="1"/>
        <v>100</v>
      </c>
      <c r="V11" s="1503" t="s">
        <v>8</v>
      </c>
      <c r="W11" s="1504">
        <f t="shared" si="2"/>
        <v>100</v>
      </c>
      <c r="X11" s="1505"/>
      <c r="Y11" s="340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63"/>
      <c r="Q12" s="1134" t="str">
        <f t="shared" si="6"/>
        <v>土地使用年限（年）</v>
      </c>
      <c r="R12" s="1503" t="s">
        <v>8</v>
      </c>
      <c r="S12" s="1504" t="e">
        <f t="shared" si="0"/>
        <v>#DIV/0!</v>
      </c>
      <c r="T12" s="1503" t="s">
        <v>8</v>
      </c>
      <c r="U12" s="1504" t="e">
        <f t="shared" si="1"/>
        <v>#DIV/0!</v>
      </c>
      <c r="V12" s="1503" t="s">
        <v>8</v>
      </c>
      <c r="W12" s="1504" t="e">
        <f t="shared" si="2"/>
        <v>#DIV/0!</v>
      </c>
      <c r="X12" s="1505"/>
      <c r="Y12" s="3409"/>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3"/>
      <c r="Q13" s="1134" t="str">
        <f t="shared" si="6"/>
        <v>容积率</v>
      </c>
      <c r="R13" s="1503" t="s">
        <v>8</v>
      </c>
      <c r="S13" s="1504" t="e">
        <f t="shared" si="0"/>
        <v>#N/A</v>
      </c>
      <c r="T13" s="1503" t="s">
        <v>8</v>
      </c>
      <c r="U13" s="1504" t="e">
        <f t="shared" si="1"/>
        <v>#N/A</v>
      </c>
      <c r="V13" s="1503" t="s">
        <v>8</v>
      </c>
      <c r="W13" s="1504" t="e">
        <f t="shared" si="2"/>
        <v>#N/A</v>
      </c>
      <c r="X13" s="1505"/>
      <c r="Y13" s="340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3"/>
      <c r="Q15" s="1134">
        <f t="shared" si="6"/>
        <v>111</v>
      </c>
      <c r="R15" s="1503" t="s">
        <v>8</v>
      </c>
      <c r="S15" s="1504">
        <f t="shared" si="0"/>
        <v>100</v>
      </c>
      <c r="T15" s="1503" t="s">
        <v>8</v>
      </c>
      <c r="U15" s="1504">
        <f t="shared" si="1"/>
        <v>100</v>
      </c>
      <c r="V15" s="1503" t="s">
        <v>8</v>
      </c>
      <c r="W15" s="1504">
        <f t="shared" si="2"/>
        <v>100</v>
      </c>
      <c r="X15" s="1505"/>
      <c r="Y15" s="340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3"/>
      <c r="Q16" s="1134">
        <f t="shared" si="6"/>
        <v>111</v>
      </c>
      <c r="R16" s="1503" t="s">
        <v>8</v>
      </c>
      <c r="S16" s="1504">
        <f t="shared" si="0"/>
        <v>100</v>
      </c>
      <c r="T16" s="1503" t="s">
        <v>8</v>
      </c>
      <c r="U16" s="1504">
        <f t="shared" si="1"/>
        <v>100</v>
      </c>
      <c r="V16" s="1503" t="s">
        <v>8</v>
      </c>
      <c r="W16" s="1504">
        <f t="shared" si="2"/>
        <v>100</v>
      </c>
      <c r="X16" s="1505"/>
      <c r="Y16" s="3409"/>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7" t="s">
        <v>534</v>
      </c>
      <c r="Q17" s="1507" t="str">
        <f t="shared" si="6"/>
        <v>产业集聚程度</v>
      </c>
      <c r="R17" s="1508" t="s">
        <v>8</v>
      </c>
      <c r="S17" s="1509">
        <f t="shared" si="0"/>
        <v>100</v>
      </c>
      <c r="T17" s="1508" t="s">
        <v>8</v>
      </c>
      <c r="U17" s="1509">
        <f t="shared" si="1"/>
        <v>100</v>
      </c>
      <c r="V17" s="1508" t="s">
        <v>8</v>
      </c>
      <c r="W17" s="1509">
        <f t="shared" si="2"/>
        <v>100</v>
      </c>
      <c r="X17" s="1502"/>
      <c r="Y17" s="349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8"/>
      <c r="Q18" s="1507"/>
      <c r="R18" s="1508"/>
      <c r="S18" s="1509"/>
      <c r="T18" s="1508"/>
      <c r="U18" s="1509"/>
      <c r="V18" s="1508"/>
      <c r="W18" s="1509"/>
      <c r="X18" s="1502"/>
      <c r="Y18" s="3498"/>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8"/>
      <c r="Q19" s="1507" t="str">
        <f>B19</f>
        <v>交通便捷度</v>
      </c>
      <c r="R19" s="1508" t="s">
        <v>8</v>
      </c>
      <c r="S19" s="1509">
        <f>F19</f>
        <v>100</v>
      </c>
      <c r="T19" s="1508" t="s">
        <v>8</v>
      </c>
      <c r="U19" s="1509">
        <f>H19</f>
        <v>100</v>
      </c>
      <c r="V19" s="1508" t="s">
        <v>8</v>
      </c>
      <c r="W19" s="1509">
        <f>J19</f>
        <v>100</v>
      </c>
      <c r="X19" s="1502"/>
      <c r="Y19" s="349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8"/>
      <c r="Q21" s="1507" t="str">
        <f t="shared" ref="Q21:Q35" si="8">B21</f>
        <v>区域土地利用方向</v>
      </c>
      <c r="R21" s="1508" t="s">
        <v>8</v>
      </c>
      <c r="S21" s="1509">
        <f>F21</f>
        <v>100</v>
      </c>
      <c r="T21" s="1508" t="s">
        <v>8</v>
      </c>
      <c r="U21" s="1509">
        <f>H21</f>
        <v>100</v>
      </c>
      <c r="V21" s="1508" t="s">
        <v>8</v>
      </c>
      <c r="W21" s="1509">
        <f>J21</f>
        <v>100</v>
      </c>
      <c r="X21" s="1502"/>
      <c r="Y21" s="349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8"/>
      <c r="Q22" s="1507"/>
      <c r="R22" s="1508"/>
      <c r="S22" s="1509"/>
      <c r="T22" s="1508"/>
      <c r="U22" s="1509"/>
      <c r="V22" s="1508"/>
      <c r="W22" s="1509"/>
      <c r="X22" s="1502"/>
      <c r="Y22" s="3498"/>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8"/>
      <c r="Q23" s="1507" t="str">
        <f t="shared" si="8"/>
        <v>环境状况</v>
      </c>
      <c r="R23" s="1508" t="s">
        <v>8</v>
      </c>
      <c r="S23" s="1509">
        <f>F23</f>
        <v>100</v>
      </c>
      <c r="T23" s="1508" t="s">
        <v>8</v>
      </c>
      <c r="U23" s="1509">
        <f>H23</f>
        <v>100</v>
      </c>
      <c r="V23" s="1508" t="s">
        <v>8</v>
      </c>
      <c r="W23" s="1509">
        <f>J23</f>
        <v>100</v>
      </c>
      <c r="X23" s="1502"/>
      <c r="Y23" s="349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8"/>
      <c r="Q24" s="1507"/>
      <c r="R24" s="1508"/>
      <c r="S24" s="1509"/>
      <c r="T24" s="1508"/>
      <c r="U24" s="1509"/>
      <c r="V24" s="1508"/>
      <c r="W24" s="1509"/>
      <c r="X24" s="1502"/>
      <c r="Y24" s="3498"/>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8"/>
      <c r="Q25" s="1134" t="str">
        <f t="shared" si="8"/>
        <v>公共配套设施</v>
      </c>
      <c r="R25" s="1503" t="s">
        <v>8</v>
      </c>
      <c r="S25" s="1504">
        <f>F25</f>
        <v>100</v>
      </c>
      <c r="T25" s="1503" t="s">
        <v>8</v>
      </c>
      <c r="U25" s="1504">
        <f>H25</f>
        <v>100</v>
      </c>
      <c r="V25" s="1503" t="s">
        <v>8</v>
      </c>
      <c r="W25" s="1504">
        <f>J25</f>
        <v>100</v>
      </c>
      <c r="X25" s="1505"/>
      <c r="Y25" s="349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8"/>
      <c r="Q26" s="1134"/>
      <c r="R26" s="1503"/>
      <c r="S26" s="1504"/>
      <c r="T26" s="1503"/>
      <c r="U26" s="1504"/>
      <c r="V26" s="1503"/>
      <c r="W26" s="1504"/>
      <c r="X26" s="1505"/>
      <c r="Y26" s="3498"/>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8"/>
      <c r="Q27" s="2429" t="str">
        <f t="shared" ref="Q27" si="9">B27</f>
        <v>基础设施水平</v>
      </c>
      <c r="R27" s="1503" t="s">
        <v>8</v>
      </c>
      <c r="S27" s="1504">
        <f>F27</f>
        <v>100</v>
      </c>
      <c r="T27" s="1503" t="s">
        <v>8</v>
      </c>
      <c r="U27" s="1504">
        <f>H27</f>
        <v>100</v>
      </c>
      <c r="V27" s="1503" t="s">
        <v>8</v>
      </c>
      <c r="W27" s="1504">
        <f>J27</f>
        <v>100</v>
      </c>
      <c r="X27" s="1505"/>
      <c r="Y27" s="349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8"/>
      <c r="Q28" s="2429"/>
      <c r="R28" s="1503"/>
      <c r="S28" s="1504"/>
      <c r="T28" s="1503"/>
      <c r="U28" s="1504"/>
      <c r="V28" s="1503"/>
      <c r="W28" s="1504"/>
      <c r="X28" s="1505"/>
      <c r="Y28" s="349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8"/>
      <c r="Q30" s="1507" t="str">
        <f t="shared" si="8"/>
        <v>毗邻道路的类型与等级</v>
      </c>
      <c r="R30" s="1508" t="s">
        <v>8</v>
      </c>
      <c r="S30" s="1509">
        <f t="shared" si="10"/>
        <v>100</v>
      </c>
      <c r="T30" s="1508" t="s">
        <v>8</v>
      </c>
      <c r="U30" s="1509">
        <f t="shared" si="11"/>
        <v>100</v>
      </c>
      <c r="V30" s="1508" t="s">
        <v>8</v>
      </c>
      <c r="W30" s="1509">
        <f t="shared" si="12"/>
        <v>100</v>
      </c>
      <c r="X30" s="1502"/>
      <c r="Y30" s="349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8"/>
      <c r="Q31" s="1507"/>
      <c r="R31" s="1508"/>
      <c r="S31" s="1509"/>
      <c r="T31" s="1508"/>
      <c r="U31" s="1509"/>
      <c r="V31" s="1508"/>
      <c r="W31" s="1509"/>
      <c r="X31" s="1502"/>
      <c r="Y31" s="349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8"/>
      <c r="Q32" s="1507" t="str">
        <f t="shared" si="8"/>
        <v>土地级别</v>
      </c>
      <c r="R32" s="1508" t="s">
        <v>8</v>
      </c>
      <c r="S32" s="1509">
        <f t="shared" si="10"/>
        <v>100</v>
      </c>
      <c r="T32" s="1508" t="s">
        <v>8</v>
      </c>
      <c r="U32" s="1509">
        <f t="shared" si="11"/>
        <v>100</v>
      </c>
      <c r="V32" s="1508" t="s">
        <v>8</v>
      </c>
      <c r="W32" s="1509">
        <f t="shared" si="12"/>
        <v>100</v>
      </c>
      <c r="X32" s="1502"/>
      <c r="Y32" s="349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8"/>
      <c r="Q33" s="1507">
        <f t="shared" si="8"/>
        <v>111</v>
      </c>
      <c r="R33" s="1508" t="s">
        <v>8</v>
      </c>
      <c r="S33" s="1509">
        <f t="shared" si="10"/>
        <v>100</v>
      </c>
      <c r="T33" s="1508" t="s">
        <v>8</v>
      </c>
      <c r="U33" s="1509">
        <f t="shared" si="11"/>
        <v>100</v>
      </c>
      <c r="V33" s="1508" t="s">
        <v>8</v>
      </c>
      <c r="W33" s="1509">
        <f t="shared" si="12"/>
        <v>100</v>
      </c>
      <c r="X33" s="1502"/>
      <c r="Y33" s="349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9" t="s">
        <v>544</v>
      </c>
      <c r="Q34" s="1507">
        <f t="shared" si="8"/>
        <v>111</v>
      </c>
      <c r="R34" s="1508" t="s">
        <v>8</v>
      </c>
      <c r="S34" s="1509">
        <f t="shared" si="10"/>
        <v>100</v>
      </c>
      <c r="T34" s="1508" t="s">
        <v>8</v>
      </c>
      <c r="U34" s="1509">
        <f t="shared" si="11"/>
        <v>100</v>
      </c>
      <c r="V34" s="1508" t="s">
        <v>8</v>
      </c>
      <c r="W34" s="1509">
        <f t="shared" si="12"/>
        <v>100</v>
      </c>
      <c r="X34" s="1502"/>
      <c r="Y34" s="350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0"/>
      <c r="Q35" s="1507">
        <f t="shared" si="8"/>
        <v>111</v>
      </c>
      <c r="R35" s="1512" t="s">
        <v>8</v>
      </c>
      <c r="S35" s="1513">
        <f t="shared" si="10"/>
        <v>100</v>
      </c>
      <c r="T35" s="1512" t="s">
        <v>8</v>
      </c>
      <c r="U35" s="1513">
        <f t="shared" si="11"/>
        <v>100</v>
      </c>
      <c r="V35" s="1512" t="s">
        <v>8</v>
      </c>
      <c r="W35" s="1513">
        <f t="shared" si="12"/>
        <v>100</v>
      </c>
      <c r="X35" s="1514"/>
      <c r="Y35" s="350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0"/>
      <c r="Q36" s="1507" t="str">
        <f>B36</f>
        <v>宗地面积</v>
      </c>
      <c r="R36" s="1508" t="s">
        <v>8</v>
      </c>
      <c r="S36" s="1509" t="e">
        <f t="shared" si="10"/>
        <v>#N/A</v>
      </c>
      <c r="T36" s="1508" t="s">
        <v>8</v>
      </c>
      <c r="U36" s="1509" t="e">
        <f t="shared" si="11"/>
        <v>#N/A</v>
      </c>
      <c r="V36" s="1508" t="s">
        <v>8</v>
      </c>
      <c r="W36" s="1509" t="e">
        <f t="shared" si="12"/>
        <v>#N/A</v>
      </c>
      <c r="X36" s="1502"/>
      <c r="Y36" s="350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0"/>
      <c r="Q37" s="1507" t="str">
        <f t="shared" ref="Q37:Q42" si="14">B37</f>
        <v>宗地形状</v>
      </c>
      <c r="R37" s="1508" t="s">
        <v>8</v>
      </c>
      <c r="S37" s="1509">
        <f t="shared" si="10"/>
        <v>100</v>
      </c>
      <c r="T37" s="1508" t="s">
        <v>8</v>
      </c>
      <c r="U37" s="1509">
        <f t="shared" si="11"/>
        <v>100</v>
      </c>
      <c r="V37" s="1508" t="s">
        <v>8</v>
      </c>
      <c r="W37" s="1509">
        <f t="shared" si="12"/>
        <v>100</v>
      </c>
      <c r="X37" s="1502"/>
      <c r="Y37" s="3500"/>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0"/>
      <c r="Q38" s="1507" t="str">
        <f t="shared" si="14"/>
        <v>宗地开发程度</v>
      </c>
      <c r="R38" s="1503" t="s">
        <v>8</v>
      </c>
      <c r="S38" s="1504">
        <f t="shared" si="10"/>
        <v>100</v>
      </c>
      <c r="T38" s="1503" t="s">
        <v>8</v>
      </c>
      <c r="U38" s="1504">
        <f t="shared" si="11"/>
        <v>100</v>
      </c>
      <c r="V38" s="1503" t="s">
        <v>8</v>
      </c>
      <c r="W38" s="1504">
        <f t="shared" si="12"/>
        <v>100</v>
      </c>
      <c r="X38" s="1505"/>
      <c r="Y38" s="350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t="s">
        <v>595</v>
      </c>
      <c r="Q39" s="1507" t="str">
        <f t="shared" si="14"/>
        <v>工程地质条件</v>
      </c>
      <c r="R39" s="1508" t="s">
        <v>8</v>
      </c>
      <c r="S39" s="1509">
        <f t="shared" si="10"/>
        <v>100</v>
      </c>
      <c r="T39" s="1508" t="s">
        <v>8</v>
      </c>
      <c r="U39" s="1509">
        <f t="shared" si="11"/>
        <v>100</v>
      </c>
      <c r="V39" s="1508" t="s">
        <v>8</v>
      </c>
      <c r="W39" s="1509">
        <f t="shared" si="12"/>
        <v>100</v>
      </c>
      <c r="X39" s="1502"/>
      <c r="Y39" s="350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0"/>
      <c r="Q40" s="1507">
        <f t="shared" si="14"/>
        <v>111</v>
      </c>
      <c r="R40" s="1508" t="s">
        <v>8</v>
      </c>
      <c r="S40" s="1509">
        <f t="shared" si="10"/>
        <v>100</v>
      </c>
      <c r="T40" s="1508" t="s">
        <v>8</v>
      </c>
      <c r="U40" s="1509">
        <f t="shared" si="11"/>
        <v>100</v>
      </c>
      <c r="V40" s="1508" t="s">
        <v>8</v>
      </c>
      <c r="W40" s="1509">
        <f t="shared" si="12"/>
        <v>100</v>
      </c>
      <c r="X40" s="1502"/>
      <c r="Y40" s="350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0"/>
      <c r="Q41" s="1507">
        <f t="shared" si="14"/>
        <v>111</v>
      </c>
      <c r="R41" s="1508" t="s">
        <v>8</v>
      </c>
      <c r="S41" s="1509">
        <f t="shared" si="10"/>
        <v>100</v>
      </c>
      <c r="T41" s="1508" t="s">
        <v>8</v>
      </c>
      <c r="U41" s="1509">
        <f t="shared" si="11"/>
        <v>100</v>
      </c>
      <c r="V41" s="1508" t="s">
        <v>8</v>
      </c>
      <c r="W41" s="1509">
        <f t="shared" si="12"/>
        <v>100</v>
      </c>
      <c r="X41" s="1502"/>
      <c r="Y41" s="350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0"/>
      <c r="Q42" s="1507">
        <f t="shared" si="14"/>
        <v>111</v>
      </c>
      <c r="R42" s="1512" t="s">
        <v>8</v>
      </c>
      <c r="S42" s="1513">
        <f t="shared" si="10"/>
        <v>100</v>
      </c>
      <c r="T42" s="1512" t="s">
        <v>8</v>
      </c>
      <c r="U42" s="1513">
        <f t="shared" si="11"/>
        <v>100</v>
      </c>
      <c r="V42" s="1512" t="s">
        <v>8</v>
      </c>
      <c r="W42" s="1513">
        <f t="shared" si="12"/>
        <v>100</v>
      </c>
      <c r="X42" s="1514"/>
      <c r="Y42" s="3500"/>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63" t="str">
        <f>A43</f>
        <v>成交单价</v>
      </c>
      <c r="Q43" s="3463"/>
      <c r="R43" s="3464">
        <f>E43</f>
        <v>0</v>
      </c>
      <c r="S43" s="3464"/>
      <c r="T43" s="3464">
        <f>G43</f>
        <v>0</v>
      </c>
      <c r="U43" s="3464"/>
      <c r="V43" s="3464">
        <f>I43</f>
        <v>0</v>
      </c>
      <c r="W43" s="3464"/>
      <c r="X43" s="1497"/>
      <c r="Y43" s="1516"/>
      <c r="Z43" s="1497"/>
      <c r="AA43" s="1497"/>
      <c r="AB43" s="1497"/>
      <c r="AC43" s="1497"/>
    </row>
    <row r="44" spans="1:29" ht="15.7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63" t="str">
        <f>A44</f>
        <v>比较价格（元/平方米）</v>
      </c>
      <c r="Q44" s="3463"/>
      <c r="R44" s="3465" t="e">
        <f>ROUND(PRODUCT(R43,AA9:AA42),0)</f>
        <v>#DIV/0!</v>
      </c>
      <c r="S44" s="3465"/>
      <c r="T44" s="3465" t="e">
        <f>ROUND(PRODUCT(T43,AB9:AB42),0)</f>
        <v>#DIV/0!</v>
      </c>
      <c r="U44" s="3465"/>
      <c r="V44" s="3465" t="e">
        <f>ROUND(PRODUCT(V43,AC9:AC42),0)</f>
        <v>#DIV/0!</v>
      </c>
      <c r="W44" s="3465"/>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60" t="str">
        <f>A45</f>
        <v>估价对象XX用房的比较价格（楼面单价，元/平方米）</v>
      </c>
      <c r="Q45" s="3461"/>
      <c r="R45" s="3512" t="e">
        <f>ROUND(IF(D44="简单平均",AVERAGE(R44:W44),R44*F44+T44*H44+V44*J44),0)</f>
        <v>#DIV/0!</v>
      </c>
      <c r="S45" s="3512"/>
      <c r="T45" s="3512"/>
      <c r="U45" s="3512"/>
      <c r="V45" s="3512"/>
      <c r="W45" s="351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7" t="s">
        <v>2272</v>
      </c>
      <c r="H52" s="350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877.81</v>
      </c>
      <c r="F53" s="1865" t="e">
        <f t="shared" ref="F53:F62" si="15">ROUND(B53*E53/10000,0)</f>
        <v>#DIV/0!</v>
      </c>
      <c r="G53" s="3509"/>
      <c r="H53" s="351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11"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11"/>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11"/>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11"/>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2019-8-1</v>
      </c>
      <c r="D65" s="2517">
        <f>EDATE(C65,-3)</f>
        <v>43586</v>
      </c>
      <c r="E65" s="2517">
        <f t="shared" ref="E65:N65" si="18">EDATE(D65,-3)</f>
        <v>43497</v>
      </c>
      <c r="F65" s="2517">
        <f t="shared" si="18"/>
        <v>43405</v>
      </c>
      <c r="G65" s="2517">
        <f t="shared" si="18"/>
        <v>43313</v>
      </c>
      <c r="H65" s="2517">
        <f t="shared" si="18"/>
        <v>43221</v>
      </c>
      <c r="I65" s="2517">
        <f t="shared" si="18"/>
        <v>43132</v>
      </c>
      <c r="J65" s="2517">
        <f t="shared" si="18"/>
        <v>43040</v>
      </c>
      <c r="K65" s="2517">
        <f t="shared" si="18"/>
        <v>42948</v>
      </c>
      <c r="L65" s="2517">
        <f t="shared" si="18"/>
        <v>42856</v>
      </c>
      <c r="M65" s="2517">
        <f t="shared" si="18"/>
        <v>42767</v>
      </c>
      <c r="N65" s="2517">
        <f t="shared" si="18"/>
        <v>42675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2019-3</v>
      </c>
      <c r="D67" s="2519" t="str">
        <f t="shared" ref="D67:N67" si="19">YEAR(D65)&amp;"-"&amp;ROUNDUP(MONTH(D65)/3,0)</f>
        <v>2019-2</v>
      </c>
      <c r="E67" s="2519" t="str">
        <f t="shared" si="19"/>
        <v>2019-1</v>
      </c>
      <c r="F67" s="2519" t="str">
        <f t="shared" si="19"/>
        <v>2018-4</v>
      </c>
      <c r="G67" s="2519" t="str">
        <f t="shared" si="19"/>
        <v>2018-3</v>
      </c>
      <c r="H67" s="2519" t="str">
        <f t="shared" si="19"/>
        <v>2018-2</v>
      </c>
      <c r="I67" s="2519" t="str">
        <f t="shared" si="19"/>
        <v>2018-1</v>
      </c>
      <c r="J67" s="2519" t="str">
        <f t="shared" si="19"/>
        <v>2017-4</v>
      </c>
      <c r="K67" s="2519" t="str">
        <f t="shared" si="19"/>
        <v>2017-3</v>
      </c>
      <c r="L67" s="2519" t="str">
        <f t="shared" si="19"/>
        <v>2017-2</v>
      </c>
      <c r="M67" s="2519" t="str">
        <f t="shared" si="19"/>
        <v>2017-1</v>
      </c>
      <c r="N67" s="2519" t="str">
        <f t="shared" si="19"/>
        <v>2016-4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北京市平均增长率1.44%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22" zoomScaleNormal="60" zoomScaleSheetLayoutView="100" workbookViewId="0">
      <selection activeCell="N33" sqref="N33"/>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1286</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20025</v>
      </c>
      <c r="U2" s="2644">
        <f>ROUND('数据-基础表'!B3/2,2)</f>
        <v>438.91</v>
      </c>
      <c r="V2" s="2655">
        <f>ROUND(T2*U2/10000,0)</f>
        <v>879</v>
      </c>
      <c r="W2" s="2071"/>
      <c r="X2" s="2071"/>
      <c r="Y2" s="2071"/>
      <c r="Z2" s="2071"/>
      <c r="AA2" s="2071"/>
      <c r="AB2" s="2071"/>
      <c r="AC2" s="2072"/>
    </row>
    <row r="3" spans="1:39" ht="24">
      <c r="A3" s="1360" t="s">
        <v>1678</v>
      </c>
      <c r="B3" s="1025">
        <f>ROUND(B2*10000/D1,0)</f>
        <v>14650</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13198</v>
      </c>
      <c r="U3" s="2644">
        <f>'数据-基础表'!B3-基准地价!U2</f>
        <v>438.89999999999992</v>
      </c>
      <c r="V3" s="2655">
        <f t="shared" ref="V3:V16" si="1">ROUND(T3*U3/10000,0)</f>
        <v>579</v>
      </c>
      <c r="W3" s="2071"/>
      <c r="X3" s="2071"/>
      <c r="Y3" s="2071"/>
      <c r="Z3" s="2071"/>
      <c r="AA3" s="2071"/>
      <c r="AB3" s="2071"/>
      <c r="AC3" s="2072"/>
    </row>
    <row r="4" spans="1:39" ht="28.5">
      <c r="A4" s="1806" t="s">
        <v>2268</v>
      </c>
      <c r="B4" s="2309">
        <f>ROUND(B2*10000/F1,0)</f>
        <v>7009</v>
      </c>
      <c r="C4" s="1809" t="s">
        <v>2243</v>
      </c>
      <c r="D4" s="1809">
        <f>ROUND(B2/(F1/666.67),0)</f>
        <v>467</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10385</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7759</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5835</v>
      </c>
      <c r="U6" s="2644"/>
      <c r="V6" s="2655">
        <f t="shared" si="1"/>
        <v>0</v>
      </c>
      <c r="W6" s="2071"/>
      <c r="X6" s="2071"/>
      <c r="Y6" s="2071"/>
      <c r="Z6" s="2071"/>
      <c r="AA6" s="2071"/>
      <c r="AB6" s="2071"/>
      <c r="AC6" s="2073"/>
      <c r="AD6" s="1368"/>
      <c r="AE6" s="1368"/>
      <c r="AF6" s="1368"/>
      <c r="AG6" s="1368"/>
      <c r="AH6" s="1368"/>
      <c r="AI6" s="1368"/>
      <c r="AJ6" s="1369"/>
    </row>
    <row r="7" spans="1:39" ht="24">
      <c r="A7" s="3527"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4666</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5.5">
      <c r="A8" s="3528"/>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14" t="s">
        <v>2762</v>
      </c>
      <c r="X8" s="351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28"/>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13"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8"/>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1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8"/>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13"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5" thickBot="1">
      <c r="A12" s="3527"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1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13"/>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29"/>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3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27" t="s">
        <v>1829</v>
      </c>
      <c r="B16" s="1376" t="s">
        <v>941</v>
      </c>
      <c r="C16" s="1039">
        <f>ROUND(IF(F17="与级别开发程度一致",0,(G17-E17)/C17),0)</f>
        <v>0</v>
      </c>
      <c r="D16" s="3521" t="s">
        <v>945</v>
      </c>
      <c r="E16" s="3522"/>
      <c r="F16" s="3521" t="s">
        <v>942</v>
      </c>
      <c r="G16" s="3522"/>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531"/>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1.3649</v>
      </c>
      <c r="D19" s="1415" t="s">
        <v>948</v>
      </c>
      <c r="E19" s="1041">
        <v>41640</v>
      </c>
      <c r="F19" s="1415" t="s">
        <v>949</v>
      </c>
      <c r="G19" s="1042">
        <f>'数据-取费表'!B2</f>
        <v>43686</v>
      </c>
      <c r="H19" s="1416" t="s">
        <v>2952</v>
      </c>
      <c r="I19" s="2504" t="str">
        <f>IF(H19="季度增幅（自定义）",SUMIF(N21:N24,E2,O21:O24),"")</f>
        <v/>
      </c>
      <c r="J19" s="1412"/>
      <c r="K19" s="3234"/>
      <c r="L19" s="2753" t="s">
        <v>2820</v>
      </c>
      <c r="M19" s="2754">
        <f>ROUND(SUMIF(地价!B2:F2,E2,地价!B35:F35),0)</f>
        <v>258</v>
      </c>
      <c r="N19" s="2506" t="s">
        <v>1667</v>
      </c>
      <c r="O19" s="2505">
        <f>ROUNDDOWN(DATEDIF(E19,G19,"M")/3,0)</f>
        <v>22</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0.90090000000000003</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29.76</v>
      </c>
      <c r="J20" s="2503">
        <f>IF(E2="住宅",70,IF(E2="商业",40,50))</f>
        <v>40</v>
      </c>
      <c r="K20" s="2844"/>
      <c r="L20" s="2755" t="s">
        <v>2821</v>
      </c>
      <c r="M20" s="2837">
        <f>ROUND(SUMPRODUCT((地价!A4:A35=YEAR(G19)&amp;"-"&amp;ROUNDUP(MONTH(G19)/3,0))*(地价!B2:F2=E2)*(地价!B4:F35)),0)</f>
        <v>352</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1.47E-2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1.47E-2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2.2599999999999999E-2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0.93110000000000004</v>
      </c>
      <c r="D24" s="1475"/>
      <c r="E24" s="1476"/>
      <c r="F24" s="1476"/>
      <c r="G24" s="1476"/>
      <c r="H24" s="1476"/>
      <c r="I24" s="1476"/>
      <c r="J24" s="1476"/>
      <c r="K24" s="3241"/>
      <c r="L24" s="1422"/>
      <c r="M24" s="1422"/>
      <c r="N24" s="1419" t="s">
        <v>972</v>
      </c>
      <c r="O24" s="2836"/>
      <c r="P24" s="2496">
        <f>SUMPRODUCT((地价!A3:A35=YEAR(G19)&amp;"-"&amp;ROUNDUP(MONTH(G19)/3,0))*(地价!AD2:AH2=N24)*(地价!AD3:AH35))</f>
        <v>1.44E-2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2.07E-2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1286</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14652</v>
      </c>
      <c r="D29" s="1444">
        <f>'数据-基础表'!H13</f>
        <v>877.81</v>
      </c>
      <c r="E29" s="1764">
        <f>ROUND(C29*D29/10000,0)</f>
        <v>1286</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3663</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f>ROUND(C29*D29,0)</f>
        <v>12861672</v>
      </c>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3"/>
      <c r="B33" s="1464" t="s">
        <v>990</v>
      </c>
      <c r="C33" s="1046">
        <f>ROUND(D5*C19*C20*C24*F33,0)</f>
        <v>2700</v>
      </c>
      <c r="D33" s="1477"/>
      <c r="E33" s="1035">
        <f>ROUND(C33*D33/10000,0)</f>
        <v>0</v>
      </c>
      <c r="F33" s="1035">
        <f>SUMIF(修正!A45:A56,G2,修正!B45:B56)</f>
        <v>0.6</v>
      </c>
      <c r="G33" s="1035">
        <f t="shared" ref="G33" si="6">ROUND(IF(E2="工业",C33*$M$39,C33*$M$38),0)</f>
        <v>675</v>
      </c>
      <c r="H33" s="1035">
        <f>D33</f>
        <v>0</v>
      </c>
      <c r="I33" s="1035">
        <f>ROUND(G33*H33/10000,0)</f>
        <v>0</v>
      </c>
      <c r="J33" s="3523"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4"/>
      <c r="B34" s="1394" t="s">
        <v>991</v>
      </c>
      <c r="C34" s="1046">
        <f>ROUND(D5*C19*C20*C24*F34,0)</f>
        <v>1350</v>
      </c>
      <c r="D34" s="1477"/>
      <c r="E34" s="1035">
        <f t="shared" ref="E34:E39" si="7">ROUND(C34*D34/10000,0)</f>
        <v>0</v>
      </c>
      <c r="F34" s="1035">
        <f>SUMIF(修正!A45:A56,G2,修正!C45:C56)</f>
        <v>0.3</v>
      </c>
      <c r="G34" s="1035">
        <f>ROUND(IF(E2="工业",C34*$M$39,C34*$M$38),0)</f>
        <v>338</v>
      </c>
      <c r="H34" s="1035">
        <f t="shared" ref="H34:H39" si="8">D34</f>
        <v>0</v>
      </c>
      <c r="I34" s="1035">
        <f t="shared" ref="I34:I39" si="9">ROUND(G34*H34/10000,0)</f>
        <v>0</v>
      </c>
      <c r="J34" s="3524"/>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4"/>
      <c r="B35" s="1394" t="s">
        <v>992</v>
      </c>
      <c r="C35" s="1046">
        <f>ROUND(D5*C19*C20*C24*F35,0)</f>
        <v>900</v>
      </c>
      <c r="D35" s="1477"/>
      <c r="E35" s="1035">
        <f t="shared" si="7"/>
        <v>0</v>
      </c>
      <c r="F35" s="1035">
        <f>SUMIF(修正!A45:A56,G2,修正!D45:D56)</f>
        <v>0.2</v>
      </c>
      <c r="G35" s="1035">
        <f>ROUND(IF(E2="工业",C35*$M$39,C35*$M$38),0)</f>
        <v>225</v>
      </c>
      <c r="H35" s="1035">
        <f t="shared" si="8"/>
        <v>0</v>
      </c>
      <c r="I35" s="1035">
        <f t="shared" si="9"/>
        <v>0</v>
      </c>
      <c r="J35" s="3524"/>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5"/>
      <c r="B36" s="1394" t="s">
        <v>993</v>
      </c>
      <c r="C36" s="1046">
        <f>ROUND(D5*C19*C20*C24*F36,0)</f>
        <v>900</v>
      </c>
      <c r="D36" s="1477"/>
      <c r="E36" s="1035">
        <f t="shared" si="7"/>
        <v>0</v>
      </c>
      <c r="F36" s="1035">
        <f>SUMIF(修正!A45:A56,G2,修正!E45:E56)</f>
        <v>0.2</v>
      </c>
      <c r="G36" s="1035">
        <f>ROUND(IF(E2="工业",C36*$M$39,C36*$M$38),0)</f>
        <v>225</v>
      </c>
      <c r="H36" s="1035">
        <f t="shared" si="8"/>
        <v>0</v>
      </c>
      <c r="I36" s="1035">
        <f t="shared" si="9"/>
        <v>0</v>
      </c>
      <c r="J36" s="3525"/>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900</v>
      </c>
      <c r="D37" s="1477"/>
      <c r="E37" s="1035">
        <f t="shared" si="7"/>
        <v>0</v>
      </c>
      <c r="F37" s="1046">
        <f>SUMIF(修正!A45:A56,G2,修正!F45:F56)</f>
        <v>0.2</v>
      </c>
      <c r="G37" s="1035">
        <f>ROUND(IF(E2="工业",C37*$M$39,C37*$M$38),0)</f>
        <v>225</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0.93110000000000004</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3031</v>
      </c>
      <c r="D47" s="2273">
        <f t="shared" ref="D47:D55" si="10">SUMIF($J$46:$N$46,C47,J47:N47)</f>
        <v>-4.8399999999999999E-2</v>
      </c>
      <c r="E47" s="2292">
        <f>ROUND(SUM(D47:D55),4)</f>
        <v>-6.8900000000000003E-2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3030</v>
      </c>
      <c r="D48" s="2273">
        <f t="shared" si="10"/>
        <v>-1.83E-2</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3023</v>
      </c>
      <c r="D49" s="2273">
        <f t="shared" si="10"/>
        <v>3.5999999999999999E-3</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3030</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2901</v>
      </c>
      <c r="C52" s="1037" t="s">
        <v>3024</v>
      </c>
      <c r="D52" s="2273">
        <f t="shared" si="10"/>
        <v>0</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3030</v>
      </c>
      <c r="D53" s="2273">
        <f t="shared" si="10"/>
        <v>-3.5999999999999999E-3</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2" t="s">
        <v>1624</v>
      </c>
      <c r="B90" s="3532"/>
      <c r="C90" s="3532"/>
      <c r="D90" s="3532"/>
      <c r="E90" s="3532"/>
      <c r="F90" s="3532"/>
      <c r="G90" s="3532"/>
      <c r="H90" s="3532"/>
      <c r="I90" s="3532"/>
      <c r="J90" s="3532"/>
      <c r="K90" s="2306"/>
      <c r="L90" s="2306"/>
      <c r="M90" s="2306"/>
      <c r="N90" s="2306"/>
    </row>
    <row r="91" spans="1:40">
      <c r="A91" s="3533" t="s">
        <v>1434</v>
      </c>
      <c r="B91" s="3533" t="s">
        <v>1625</v>
      </c>
      <c r="C91" s="1123" t="s">
        <v>1626</v>
      </c>
      <c r="D91" s="1124"/>
      <c r="E91" s="1124"/>
      <c r="F91" s="1124"/>
      <c r="G91" s="1124"/>
      <c r="H91" s="1124"/>
      <c r="I91" s="1124"/>
      <c r="J91" s="1125"/>
      <c r="K91" s="1117"/>
      <c r="L91" s="1117"/>
      <c r="M91" s="1117"/>
      <c r="N91" s="1117"/>
    </row>
    <row r="92" spans="1:40">
      <c r="A92" s="3533"/>
      <c r="B92" s="353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7"/>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18"/>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16"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17"/>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17"/>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17"/>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17"/>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17"/>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17"/>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17"/>
      <c r="B108" s="3519"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18"/>
      <c r="B109" s="3520"/>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26" t="s">
        <v>1630</v>
      </c>
      <c r="B110" s="3526"/>
      <c r="C110" s="3526"/>
      <c r="D110" s="3526"/>
      <c r="E110" s="3526"/>
      <c r="F110" s="3526"/>
      <c r="G110" s="3526"/>
      <c r="H110" s="3526"/>
      <c r="I110" s="3526"/>
      <c r="J110" s="3526"/>
      <c r="K110" s="2304"/>
      <c r="L110" s="2304"/>
      <c r="M110" s="2304"/>
      <c r="N110" s="2304"/>
    </row>
    <row r="112" spans="1:14" ht="12.75" thickBot="1"/>
    <row r="113" spans="1:13" ht="25.5"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2.75">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2.75">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5"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3" t="s">
        <v>998</v>
      </c>
      <c r="B18" s="1137" t="s">
        <v>1437</v>
      </c>
      <c r="C18" s="1114" t="s">
        <v>1438</v>
      </c>
      <c r="D18" s="1115"/>
      <c r="E18" s="1137">
        <v>1</v>
      </c>
      <c r="F18" s="1116" t="s">
        <v>1439</v>
      </c>
      <c r="G18" s="1117"/>
      <c r="H18" s="1088"/>
      <c r="I18" s="1088"/>
    </row>
    <row r="19" spans="1:9" s="1530" customFormat="1" ht="19.5" customHeight="1">
      <c r="A19" s="3533"/>
      <c r="B19" s="3533" t="s">
        <v>1440</v>
      </c>
      <c r="C19" s="1114" t="s">
        <v>1441</v>
      </c>
      <c r="D19" s="1115"/>
      <c r="E19" s="1137">
        <v>0.9</v>
      </c>
      <c r="F19" s="1116" t="s">
        <v>1442</v>
      </c>
      <c r="G19" s="1117"/>
      <c r="H19" s="1088"/>
      <c r="I19" s="1088"/>
    </row>
    <row r="20" spans="1:9" s="1530" customFormat="1" ht="19.5" customHeight="1">
      <c r="A20" s="3533"/>
      <c r="B20" s="3533"/>
      <c r="C20" s="1114" t="s">
        <v>1443</v>
      </c>
      <c r="D20" s="1115"/>
      <c r="E20" s="1137">
        <v>1.1000000000000001</v>
      </c>
      <c r="F20" s="1116" t="s">
        <v>1444</v>
      </c>
      <c r="G20" s="1117"/>
      <c r="H20" s="1088"/>
      <c r="I20" s="1088"/>
    </row>
    <row r="21" spans="1:9" s="1530" customFormat="1" ht="19.5" customHeight="1">
      <c r="A21" s="3533"/>
      <c r="B21" s="3533"/>
      <c r="C21" s="1114" t="s">
        <v>1445</v>
      </c>
      <c r="D21" s="1115"/>
      <c r="E21" s="1137">
        <v>0.8</v>
      </c>
      <c r="F21" s="1116" t="s">
        <v>1446</v>
      </c>
      <c r="G21" s="1117"/>
      <c r="H21" s="1088"/>
      <c r="I21" s="1088"/>
    </row>
    <row r="22" spans="1:9" s="1530" customFormat="1" ht="19.5" customHeight="1">
      <c r="A22" s="3533"/>
      <c r="B22" s="3533"/>
      <c r="C22" s="1114" t="s">
        <v>1447</v>
      </c>
      <c r="D22" s="1115"/>
      <c r="E22" s="1137">
        <v>0.5</v>
      </c>
      <c r="F22" s="1116"/>
      <c r="G22" s="1117"/>
      <c r="H22" s="1088"/>
      <c r="I22" s="1088"/>
    </row>
    <row r="23" spans="1:9" s="1530" customFormat="1" ht="19.5" customHeight="1">
      <c r="A23" s="3533" t="s">
        <v>1020</v>
      </c>
      <c r="B23" s="1137" t="s">
        <v>1437</v>
      </c>
      <c r="C23" s="1114" t="s">
        <v>1448</v>
      </c>
      <c r="D23" s="1115"/>
      <c r="E23" s="1137">
        <v>1</v>
      </c>
      <c r="F23" s="1116" t="s">
        <v>1449</v>
      </c>
      <c r="G23" s="1117"/>
      <c r="H23" s="1088"/>
      <c r="I23" s="1088"/>
    </row>
    <row r="24" spans="1:9" s="1530" customFormat="1" ht="19.5" customHeight="1">
      <c r="A24" s="3533"/>
      <c r="B24" s="3533" t="s">
        <v>1440</v>
      </c>
      <c r="C24" s="1114" t="s">
        <v>1450</v>
      </c>
      <c r="D24" s="1115"/>
      <c r="E24" s="1137">
        <v>0.5</v>
      </c>
      <c r="F24" s="1116"/>
      <c r="G24" s="1117"/>
      <c r="H24" s="1088"/>
      <c r="I24" s="1088"/>
    </row>
    <row r="25" spans="1:9" s="1530" customFormat="1" ht="19.5" customHeight="1">
      <c r="A25" s="3533"/>
      <c r="B25" s="3533"/>
      <c r="C25" s="1114" t="s">
        <v>1451</v>
      </c>
      <c r="D25" s="1115"/>
      <c r="E25" s="1137">
        <v>1.1000000000000001</v>
      </c>
      <c r="F25" s="1116"/>
      <c r="G25" s="1117"/>
      <c r="H25" s="1088"/>
      <c r="I25" s="1088"/>
    </row>
    <row r="26" spans="1:9" s="1530" customFormat="1" ht="19.5" customHeight="1">
      <c r="A26" s="3533"/>
      <c r="B26" s="3533"/>
      <c r="C26" s="1114" t="s">
        <v>1452</v>
      </c>
      <c r="D26" s="1115"/>
      <c r="E26" s="1137">
        <v>1.1000000000000001</v>
      </c>
      <c r="F26" s="1116"/>
      <c r="G26" s="1117"/>
      <c r="H26" s="1088"/>
      <c r="I26" s="1088"/>
    </row>
    <row r="27" spans="1:9" s="1530" customFormat="1" ht="19.5" customHeight="1">
      <c r="A27" s="3533"/>
      <c r="B27" s="3533"/>
      <c r="C27" s="1114" t="s">
        <v>1453</v>
      </c>
      <c r="D27" s="1115"/>
      <c r="E27" s="1137">
        <v>0.9</v>
      </c>
      <c r="F27" s="1116" t="s">
        <v>1454</v>
      </c>
      <c r="G27" s="1117"/>
      <c r="H27" s="1088"/>
      <c r="I27" s="1088"/>
    </row>
    <row r="28" spans="1:9" s="1530" customFormat="1" ht="19.5" customHeight="1">
      <c r="A28" s="3533"/>
      <c r="B28" s="3533"/>
      <c r="C28" s="1114" t="s">
        <v>1455</v>
      </c>
      <c r="D28" s="1115"/>
      <c r="E28" s="1137">
        <v>0.9</v>
      </c>
      <c r="F28" s="1116" t="s">
        <v>1456</v>
      </c>
      <c r="G28" s="1117"/>
      <c r="H28" s="1088"/>
      <c r="I28" s="1088"/>
    </row>
    <row r="29" spans="1:9" s="1530" customFormat="1" ht="19.5" customHeight="1">
      <c r="A29" s="3533"/>
      <c r="B29" s="3533"/>
      <c r="C29" s="1114" t="s">
        <v>1457</v>
      </c>
      <c r="D29" s="1115"/>
      <c r="E29" s="1137">
        <v>0.9</v>
      </c>
      <c r="F29" s="1116" t="s">
        <v>1458</v>
      </c>
      <c r="G29" s="1117"/>
      <c r="H29" s="1088"/>
      <c r="I29" s="1088"/>
    </row>
    <row r="30" spans="1:9" s="1530" customFormat="1" ht="19.5" customHeight="1">
      <c r="A30" s="3533"/>
      <c r="B30" s="3533"/>
      <c r="C30" s="1114" t="s">
        <v>1459</v>
      </c>
      <c r="D30" s="1115"/>
      <c r="E30" s="1137">
        <v>0.9</v>
      </c>
      <c r="F30" s="1116" t="s">
        <v>1460</v>
      </c>
      <c r="G30" s="1117"/>
      <c r="H30" s="1088"/>
      <c r="I30" s="1088"/>
    </row>
    <row r="31" spans="1:9" s="1530" customFormat="1" ht="19.5" customHeight="1">
      <c r="A31" s="3533"/>
      <c r="B31" s="3533"/>
      <c r="C31" s="1114" t="s">
        <v>1461</v>
      </c>
      <c r="D31" s="1115"/>
      <c r="E31" s="1137">
        <v>0.8</v>
      </c>
      <c r="F31" s="1116" t="s">
        <v>1462</v>
      </c>
      <c r="G31" s="1117"/>
      <c r="H31" s="1088"/>
      <c r="I31" s="1088"/>
    </row>
    <row r="32" spans="1:9" s="1530" customFormat="1" ht="19.5" customHeight="1">
      <c r="A32" s="3533"/>
      <c r="B32" s="3533"/>
      <c r="C32" s="1114" t="s">
        <v>1463</v>
      </c>
      <c r="D32" s="1115"/>
      <c r="E32" s="1137">
        <v>0.8</v>
      </c>
      <c r="F32" s="1116" t="s">
        <v>1464</v>
      </c>
      <c r="G32" s="1117"/>
      <c r="H32" s="1088"/>
      <c r="I32" s="1088"/>
    </row>
    <row r="33" spans="1:9" s="1530" customFormat="1" ht="19.5" customHeight="1">
      <c r="A33" s="3533" t="s">
        <v>1465</v>
      </c>
      <c r="B33" s="1137" t="s">
        <v>1437</v>
      </c>
      <c r="C33" s="1114" t="s">
        <v>1466</v>
      </c>
      <c r="D33" s="1115"/>
      <c r="E33" s="1137">
        <v>1</v>
      </c>
      <c r="F33" s="1116" t="s">
        <v>1467</v>
      </c>
      <c r="G33" s="1117"/>
      <c r="H33" s="1088"/>
      <c r="I33" s="1088"/>
    </row>
    <row r="34" spans="1:9" s="1530" customFormat="1" ht="19.5" customHeight="1">
      <c r="A34" s="3533"/>
      <c r="B34" s="1137" t="s">
        <v>1440</v>
      </c>
      <c r="C34" s="1114" t="s">
        <v>1468</v>
      </c>
      <c r="D34" s="1115"/>
      <c r="E34" s="1137">
        <v>1.5</v>
      </c>
      <c r="F34" s="1116" t="s">
        <v>1469</v>
      </c>
      <c r="G34" s="1117"/>
      <c r="H34" s="1088"/>
      <c r="I34" s="1088"/>
    </row>
    <row r="35" spans="1:9" s="1530" customFormat="1" ht="19.5" customHeight="1">
      <c r="A35" s="3533" t="s">
        <v>1423</v>
      </c>
      <c r="B35" s="1137" t="s">
        <v>1437</v>
      </c>
      <c r="C35" s="1114" t="s">
        <v>1470</v>
      </c>
      <c r="D35" s="1115"/>
      <c r="E35" s="1137">
        <v>1</v>
      </c>
      <c r="F35" s="1116" t="s">
        <v>1471</v>
      </c>
      <c r="G35" s="1117"/>
      <c r="H35" s="1088"/>
      <c r="I35" s="1088"/>
    </row>
    <row r="36" spans="1:9" s="1530" customFormat="1" ht="19.5" customHeight="1">
      <c r="A36" s="3533"/>
      <c r="B36" s="3533" t="s">
        <v>1440</v>
      </c>
      <c r="C36" s="1114" t="s">
        <v>1472</v>
      </c>
      <c r="D36" s="1115"/>
      <c r="E36" s="1137">
        <v>1</v>
      </c>
      <c r="F36" s="1116" t="s">
        <v>1473</v>
      </c>
      <c r="G36" s="1117"/>
      <c r="H36" s="1088"/>
      <c r="I36" s="1088"/>
    </row>
    <row r="37" spans="1:9" s="1530" customFormat="1" ht="19.5" customHeight="1">
      <c r="A37" s="3533"/>
      <c r="B37" s="3533"/>
      <c r="C37" s="1114" t="s">
        <v>1474</v>
      </c>
      <c r="D37" s="1115"/>
      <c r="E37" s="1137">
        <v>1.5</v>
      </c>
      <c r="F37" s="1116" t="s">
        <v>1475</v>
      </c>
      <c r="G37" s="1117"/>
      <c r="H37" s="1088"/>
      <c r="I37" s="1088"/>
    </row>
    <row r="38" spans="1:9" s="1530" customFormat="1" ht="19.5" customHeight="1">
      <c r="A38" s="3533"/>
      <c r="B38" s="3533"/>
      <c r="C38" s="1114" t="s">
        <v>1476</v>
      </c>
      <c r="D38" s="1115"/>
      <c r="E38" s="1137">
        <v>1</v>
      </c>
      <c r="F38" s="1116" t="s">
        <v>1477</v>
      </c>
      <c r="G38" s="1117"/>
      <c r="H38" s="1088"/>
      <c r="I38" s="1088"/>
    </row>
    <row r="39" spans="1:9" s="1530" customFormat="1" ht="19.5" customHeight="1">
      <c r="A39" s="3533"/>
      <c r="B39" s="353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3" t="s">
        <v>1492</v>
      </c>
      <c r="C61" s="1051" t="s">
        <v>1493</v>
      </c>
      <c r="D61" s="1051" t="s">
        <v>1494</v>
      </c>
      <c r="E61" s="1122">
        <v>0.5</v>
      </c>
      <c r="F61" s="1137">
        <v>80</v>
      </c>
      <c r="H61" s="1088">
        <f>SUMIF(C59:C119,基准地价!C8,E59:E119)</f>
        <v>0</v>
      </c>
    </row>
    <row r="62" spans="1:8" s="1088" customFormat="1" ht="24">
      <c r="A62" s="1137">
        <v>2</v>
      </c>
      <c r="B62" s="3533"/>
      <c r="C62" s="1051" t="s">
        <v>1495</v>
      </c>
      <c r="D62" s="1051" t="s">
        <v>1496</v>
      </c>
      <c r="E62" s="1122">
        <v>0.5</v>
      </c>
      <c r="F62" s="1137">
        <v>80</v>
      </c>
    </row>
    <row r="63" spans="1:8" s="1088" customFormat="1" ht="36">
      <c r="A63" s="1137">
        <v>3</v>
      </c>
      <c r="B63" s="3533"/>
      <c r="C63" s="1051" t="s">
        <v>1497</v>
      </c>
      <c r="D63" s="1051" t="s">
        <v>1498</v>
      </c>
      <c r="E63" s="1122">
        <v>0.5</v>
      </c>
      <c r="F63" s="1137">
        <v>80</v>
      </c>
    </row>
    <row r="64" spans="1:8" s="1088" customFormat="1" ht="36">
      <c r="A64" s="1137">
        <v>4</v>
      </c>
      <c r="B64" s="3533"/>
      <c r="C64" s="1051" t="s">
        <v>1499</v>
      </c>
      <c r="D64" s="1051" t="s">
        <v>1500</v>
      </c>
      <c r="E64" s="1122">
        <v>0.4</v>
      </c>
      <c r="F64" s="1137">
        <v>60</v>
      </c>
    </row>
    <row r="65" spans="1:6" s="1088" customFormat="1" ht="36">
      <c r="A65" s="1137">
        <v>5</v>
      </c>
      <c r="B65" s="3533"/>
      <c r="C65" s="1051" t="s">
        <v>1501</v>
      </c>
      <c r="D65" s="1051" t="s">
        <v>1502</v>
      </c>
      <c r="E65" s="1122">
        <v>0.2</v>
      </c>
      <c r="F65" s="1137">
        <v>30</v>
      </c>
    </row>
    <row r="66" spans="1:6" s="1088" customFormat="1" ht="36">
      <c r="A66" s="1137">
        <v>6</v>
      </c>
      <c r="B66" s="3533"/>
      <c r="C66" s="1051" t="s">
        <v>1503</v>
      </c>
      <c r="D66" s="1051" t="s">
        <v>1504</v>
      </c>
      <c r="E66" s="1122">
        <v>0.3</v>
      </c>
      <c r="F66" s="1137">
        <v>50</v>
      </c>
    </row>
    <row r="67" spans="1:6" s="1088" customFormat="1" ht="36">
      <c r="A67" s="1137">
        <v>7</v>
      </c>
      <c r="B67" s="3533"/>
      <c r="C67" s="1051" t="s">
        <v>1505</v>
      </c>
      <c r="D67" s="1051" t="s">
        <v>1506</v>
      </c>
      <c r="E67" s="1122">
        <v>0.2</v>
      </c>
      <c r="F67" s="1137">
        <v>30</v>
      </c>
    </row>
    <row r="68" spans="1:6" s="1088" customFormat="1" ht="36">
      <c r="A68" s="1137">
        <v>8</v>
      </c>
      <c r="B68" s="3533"/>
      <c r="C68" s="1051" t="s">
        <v>1507</v>
      </c>
      <c r="D68" s="1051" t="s">
        <v>1508</v>
      </c>
      <c r="E68" s="1122">
        <v>0.2</v>
      </c>
      <c r="F68" s="1137">
        <v>30</v>
      </c>
    </row>
    <row r="69" spans="1:6" s="1088" customFormat="1" ht="36">
      <c r="A69" s="1137">
        <v>9</v>
      </c>
      <c r="B69" s="3533"/>
      <c r="C69" s="1051" t="s">
        <v>1509</v>
      </c>
      <c r="D69" s="1051" t="s">
        <v>1510</v>
      </c>
      <c r="E69" s="1122">
        <v>0.2</v>
      </c>
      <c r="F69" s="1137">
        <v>30</v>
      </c>
    </row>
    <row r="70" spans="1:6" s="1088" customFormat="1" ht="48">
      <c r="A70" s="1137">
        <v>10</v>
      </c>
      <c r="B70" s="3533"/>
      <c r="C70" s="1051" t="s">
        <v>1511</v>
      </c>
      <c r="D70" s="1051" t="s">
        <v>1512</v>
      </c>
      <c r="E70" s="1122">
        <v>0.2</v>
      </c>
      <c r="F70" s="1137">
        <v>30</v>
      </c>
    </row>
    <row r="71" spans="1:6" s="1088" customFormat="1" ht="48">
      <c r="A71" s="1137">
        <v>11</v>
      </c>
      <c r="B71" s="3533"/>
      <c r="C71" s="1051" t="s">
        <v>1513</v>
      </c>
      <c r="D71" s="1051" t="s">
        <v>1514</v>
      </c>
      <c r="E71" s="1122">
        <v>0.2</v>
      </c>
      <c r="F71" s="1137">
        <v>30</v>
      </c>
    </row>
    <row r="72" spans="1:6" s="1088" customFormat="1" ht="36">
      <c r="A72" s="1137">
        <v>12</v>
      </c>
      <c r="B72" s="3533"/>
      <c r="C72" s="1051" t="s">
        <v>1515</v>
      </c>
      <c r="D72" s="1051" t="s">
        <v>1516</v>
      </c>
      <c r="E72" s="1122">
        <v>0.5</v>
      </c>
      <c r="F72" s="1137">
        <v>80</v>
      </c>
    </row>
    <row r="73" spans="1:6" s="1088" customFormat="1" ht="24">
      <c r="A73" s="1137">
        <v>13</v>
      </c>
      <c r="B73" s="3533"/>
      <c r="C73" s="1051" t="s">
        <v>1517</v>
      </c>
      <c r="D73" s="1051" t="s">
        <v>1518</v>
      </c>
      <c r="E73" s="1122">
        <v>0.4</v>
      </c>
      <c r="F73" s="1137">
        <v>60</v>
      </c>
    </row>
    <row r="74" spans="1:6" s="1088" customFormat="1" ht="24">
      <c r="A74" s="1137">
        <v>14</v>
      </c>
      <c r="B74" s="3533"/>
      <c r="C74" s="1051" t="s">
        <v>1519</v>
      </c>
      <c r="D74" s="1051" t="s">
        <v>1520</v>
      </c>
      <c r="E74" s="1122">
        <v>0.2</v>
      </c>
      <c r="F74" s="1137">
        <v>30</v>
      </c>
    </row>
    <row r="75" spans="1:6" s="1088" customFormat="1" ht="24">
      <c r="A75" s="1137">
        <v>15</v>
      </c>
      <c r="B75" s="3533"/>
      <c r="C75" s="1051" t="s">
        <v>1521</v>
      </c>
      <c r="D75" s="1051" t="s">
        <v>1522</v>
      </c>
      <c r="E75" s="1122">
        <v>0.2</v>
      </c>
      <c r="F75" s="1137">
        <v>30</v>
      </c>
    </row>
    <row r="76" spans="1:6" s="1088" customFormat="1" ht="24">
      <c r="A76" s="1137">
        <v>16</v>
      </c>
      <c r="B76" s="3533" t="s">
        <v>1523</v>
      </c>
      <c r="C76" s="1051" t="s">
        <v>1524</v>
      </c>
      <c r="D76" s="1051" t="s">
        <v>1525</v>
      </c>
      <c r="E76" s="1122">
        <v>0.5</v>
      </c>
      <c r="F76" s="1137">
        <v>80</v>
      </c>
    </row>
    <row r="77" spans="1:6" s="1088" customFormat="1" ht="24">
      <c r="A77" s="1137">
        <v>17</v>
      </c>
      <c r="B77" s="3533"/>
      <c r="C77" s="1051" t="s">
        <v>1526</v>
      </c>
      <c r="D77" s="1051" t="s">
        <v>1527</v>
      </c>
      <c r="E77" s="1122">
        <v>0.5</v>
      </c>
      <c r="F77" s="1137">
        <v>80</v>
      </c>
    </row>
    <row r="78" spans="1:6" s="1088" customFormat="1" ht="24">
      <c r="A78" s="1137">
        <v>18</v>
      </c>
      <c r="B78" s="3533"/>
      <c r="C78" s="1051" t="s">
        <v>1528</v>
      </c>
      <c r="D78" s="1051" t="s">
        <v>1529</v>
      </c>
      <c r="E78" s="1122">
        <v>0.2</v>
      </c>
      <c r="F78" s="1137">
        <v>30</v>
      </c>
    </row>
    <row r="79" spans="1:6" s="1088" customFormat="1" ht="24">
      <c r="A79" s="1137">
        <v>19</v>
      </c>
      <c r="B79" s="3533"/>
      <c r="C79" s="1051" t="s">
        <v>1530</v>
      </c>
      <c r="D79" s="1051" t="s">
        <v>1531</v>
      </c>
      <c r="E79" s="1122">
        <v>0.5</v>
      </c>
      <c r="F79" s="1137">
        <v>80</v>
      </c>
    </row>
    <row r="80" spans="1:6" s="1088" customFormat="1" ht="36">
      <c r="A80" s="1137">
        <v>20</v>
      </c>
      <c r="B80" s="3533"/>
      <c r="C80" s="1051" t="s">
        <v>1532</v>
      </c>
      <c r="D80" s="1051" t="s">
        <v>1533</v>
      </c>
      <c r="E80" s="1122">
        <v>0.2</v>
      </c>
      <c r="F80" s="1137">
        <v>30</v>
      </c>
    </row>
    <row r="81" spans="1:6" s="1088" customFormat="1" ht="36">
      <c r="A81" s="1137">
        <v>21</v>
      </c>
      <c r="B81" s="3533"/>
      <c r="C81" s="1051" t="s">
        <v>1534</v>
      </c>
      <c r="D81" s="1051" t="s">
        <v>1535</v>
      </c>
      <c r="E81" s="1122">
        <v>0.2</v>
      </c>
      <c r="F81" s="1137">
        <v>30</v>
      </c>
    </row>
    <row r="82" spans="1:6" s="1088" customFormat="1" ht="48">
      <c r="A82" s="1137">
        <v>22</v>
      </c>
      <c r="B82" s="3533"/>
      <c r="C82" s="1051" t="s">
        <v>1536</v>
      </c>
      <c r="D82" s="1051" t="s">
        <v>1537</v>
      </c>
      <c r="E82" s="1122">
        <v>0.2</v>
      </c>
      <c r="F82" s="1137">
        <v>30</v>
      </c>
    </row>
    <row r="83" spans="1:6" s="1088" customFormat="1" ht="48">
      <c r="A83" s="1137">
        <v>23</v>
      </c>
      <c r="B83" s="3533"/>
      <c r="C83" s="1051" t="s">
        <v>1538</v>
      </c>
      <c r="D83" s="1051" t="s">
        <v>1539</v>
      </c>
      <c r="E83" s="1122">
        <v>0.2</v>
      </c>
      <c r="F83" s="1137">
        <v>30</v>
      </c>
    </row>
    <row r="84" spans="1:6" s="1088" customFormat="1" ht="36">
      <c r="A84" s="1137">
        <v>24</v>
      </c>
      <c r="B84" s="3533"/>
      <c r="C84" s="1051" t="s">
        <v>1540</v>
      </c>
      <c r="D84" s="1051" t="s">
        <v>1541</v>
      </c>
      <c r="E84" s="1122">
        <v>0.2</v>
      </c>
      <c r="F84" s="1137">
        <v>30</v>
      </c>
    </row>
    <row r="85" spans="1:6" s="1088" customFormat="1" ht="36">
      <c r="A85" s="1137">
        <v>25</v>
      </c>
      <c r="B85" s="3533"/>
      <c r="C85" s="1051" t="s">
        <v>1542</v>
      </c>
      <c r="D85" s="1051" t="s">
        <v>1543</v>
      </c>
      <c r="E85" s="1122">
        <v>0.5</v>
      </c>
      <c r="F85" s="1137">
        <v>80</v>
      </c>
    </row>
    <row r="86" spans="1:6" s="1088" customFormat="1" ht="36">
      <c r="A86" s="1137">
        <v>26</v>
      </c>
      <c r="B86" s="3533"/>
      <c r="C86" s="1051" t="s">
        <v>1544</v>
      </c>
      <c r="D86" s="1051" t="s">
        <v>1545</v>
      </c>
      <c r="E86" s="1122">
        <v>0.2</v>
      </c>
      <c r="F86" s="1137">
        <v>30</v>
      </c>
    </row>
    <row r="87" spans="1:6" s="1088" customFormat="1" ht="36">
      <c r="A87" s="1137">
        <v>27</v>
      </c>
      <c r="B87" s="3533"/>
      <c r="C87" s="1051" t="s">
        <v>1546</v>
      </c>
      <c r="D87" s="1051" t="s">
        <v>1547</v>
      </c>
      <c r="E87" s="1122">
        <v>0.2</v>
      </c>
      <c r="F87" s="1137">
        <v>30</v>
      </c>
    </row>
    <row r="88" spans="1:6" s="1088" customFormat="1" ht="36">
      <c r="A88" s="1137">
        <v>28</v>
      </c>
      <c r="B88" s="3533"/>
      <c r="C88" s="1051" t="s">
        <v>1548</v>
      </c>
      <c r="D88" s="1051" t="s">
        <v>1549</v>
      </c>
      <c r="E88" s="1122">
        <v>0.2</v>
      </c>
      <c r="F88" s="1137">
        <v>30</v>
      </c>
    </row>
    <row r="89" spans="1:6" s="1088" customFormat="1" ht="24">
      <c r="A89" s="1137">
        <v>29</v>
      </c>
      <c r="B89" s="3533"/>
      <c r="C89" s="1051" t="s">
        <v>1550</v>
      </c>
      <c r="D89" s="1051" t="s">
        <v>1551</v>
      </c>
      <c r="E89" s="1122">
        <v>0.2</v>
      </c>
      <c r="F89" s="1137">
        <v>30</v>
      </c>
    </row>
    <row r="90" spans="1:6" s="1088" customFormat="1" ht="24">
      <c r="A90" s="1137">
        <v>30</v>
      </c>
      <c r="B90" s="3533"/>
      <c r="C90" s="1051" t="s">
        <v>1552</v>
      </c>
      <c r="D90" s="1051" t="s">
        <v>1553</v>
      </c>
      <c r="E90" s="1122">
        <v>0.2</v>
      </c>
      <c r="F90" s="1137">
        <v>30</v>
      </c>
    </row>
    <row r="91" spans="1:6" s="1088" customFormat="1" ht="36">
      <c r="A91" s="1137">
        <v>31</v>
      </c>
      <c r="B91" s="3533"/>
      <c r="C91" s="1051" t="s">
        <v>1554</v>
      </c>
      <c r="D91" s="1051" t="s">
        <v>1555</v>
      </c>
      <c r="E91" s="1122">
        <v>0.2</v>
      </c>
      <c r="F91" s="1137">
        <v>30</v>
      </c>
    </row>
    <row r="92" spans="1:6" s="1088" customFormat="1" ht="24">
      <c r="A92" s="1137">
        <v>32</v>
      </c>
      <c r="B92" s="3533" t="s">
        <v>1556</v>
      </c>
      <c r="C92" s="1137" t="s">
        <v>1557</v>
      </c>
      <c r="D92" s="1051" t="s">
        <v>1558</v>
      </c>
      <c r="E92" s="1122">
        <v>0.2</v>
      </c>
      <c r="F92" s="1137">
        <v>30</v>
      </c>
    </row>
    <row r="93" spans="1:6" s="1088" customFormat="1" ht="36">
      <c r="A93" s="1137">
        <v>33</v>
      </c>
      <c r="B93" s="3533"/>
      <c r="C93" s="1137" t="s">
        <v>1559</v>
      </c>
      <c r="D93" s="1051" t="s">
        <v>1560</v>
      </c>
      <c r="E93" s="1122">
        <v>0.2</v>
      </c>
      <c r="F93" s="1137">
        <v>30</v>
      </c>
    </row>
    <row r="94" spans="1:6" s="1088" customFormat="1" ht="48">
      <c r="A94" s="1137">
        <v>34</v>
      </c>
      <c r="B94" s="3533"/>
      <c r="C94" s="1137" t="s">
        <v>1561</v>
      </c>
      <c r="D94" s="1051" t="s">
        <v>1562</v>
      </c>
      <c r="E94" s="1122">
        <v>0.2</v>
      </c>
      <c r="F94" s="1137">
        <v>30</v>
      </c>
    </row>
    <row r="95" spans="1:6" s="1088" customFormat="1" ht="36">
      <c r="A95" s="1137">
        <v>35</v>
      </c>
      <c r="B95" s="3533"/>
      <c r="C95" s="1137" t="s">
        <v>1563</v>
      </c>
      <c r="D95" s="1051" t="s">
        <v>1564</v>
      </c>
      <c r="E95" s="1122">
        <v>0.2</v>
      </c>
      <c r="F95" s="1137">
        <v>30</v>
      </c>
    </row>
    <row r="96" spans="1:6" s="1088" customFormat="1" ht="48">
      <c r="A96" s="1137">
        <v>36</v>
      </c>
      <c r="B96" s="3533"/>
      <c r="C96" s="1051" t="s">
        <v>1565</v>
      </c>
      <c r="D96" s="1051" t="s">
        <v>1566</v>
      </c>
      <c r="E96" s="1122">
        <v>0.2</v>
      </c>
      <c r="F96" s="1137">
        <v>30</v>
      </c>
    </row>
    <row r="97" spans="1:6" s="1088" customFormat="1" ht="36">
      <c r="A97" s="1137">
        <v>37</v>
      </c>
      <c r="B97" s="3533"/>
      <c r="C97" s="1137" t="s">
        <v>1567</v>
      </c>
      <c r="D97" s="1051" t="s">
        <v>1568</v>
      </c>
      <c r="E97" s="1122">
        <v>0.2</v>
      </c>
      <c r="F97" s="1137">
        <v>30</v>
      </c>
    </row>
    <row r="98" spans="1:6" s="1088" customFormat="1" ht="36">
      <c r="A98" s="1137">
        <v>38</v>
      </c>
      <c r="B98" s="3533"/>
      <c r="C98" s="1137" t="s">
        <v>1569</v>
      </c>
      <c r="D98" s="1051" t="s">
        <v>1570</v>
      </c>
      <c r="E98" s="1122">
        <v>0.2</v>
      </c>
      <c r="F98" s="1137">
        <v>30</v>
      </c>
    </row>
    <row r="99" spans="1:6" s="1088" customFormat="1" ht="36">
      <c r="A99" s="1137">
        <v>39</v>
      </c>
      <c r="B99" s="3533" t="s">
        <v>1571</v>
      </c>
      <c r="C99" s="1137" t="s">
        <v>1572</v>
      </c>
      <c r="D99" s="1051" t="s">
        <v>1573</v>
      </c>
      <c r="E99" s="1122">
        <v>0.3</v>
      </c>
      <c r="F99" s="1137">
        <v>50</v>
      </c>
    </row>
    <row r="100" spans="1:6" s="1088" customFormat="1" ht="24">
      <c r="A100" s="1137">
        <v>40</v>
      </c>
      <c r="B100" s="3533"/>
      <c r="C100" s="1137" t="s">
        <v>1574</v>
      </c>
      <c r="D100" s="1051" t="s">
        <v>1575</v>
      </c>
      <c r="E100" s="1122">
        <v>0.2</v>
      </c>
      <c r="F100" s="1137">
        <v>30</v>
      </c>
    </row>
    <row r="101" spans="1:6" s="1088" customFormat="1" ht="36">
      <c r="A101" s="1137">
        <v>41</v>
      </c>
      <c r="B101" s="353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3" t="s">
        <v>1586</v>
      </c>
      <c r="C105" s="1137" t="s">
        <v>1587</v>
      </c>
      <c r="D105" s="1051" t="s">
        <v>1588</v>
      </c>
      <c r="E105" s="1122">
        <v>0.2</v>
      </c>
      <c r="F105" s="1137">
        <v>30</v>
      </c>
    </row>
    <row r="106" spans="1:6" s="1088" customFormat="1" ht="36">
      <c r="A106" s="1137">
        <v>46</v>
      </c>
      <c r="B106" s="3533"/>
      <c r="C106" s="1137" t="s">
        <v>1589</v>
      </c>
      <c r="D106" s="1051" t="s">
        <v>1590</v>
      </c>
      <c r="E106" s="1122">
        <v>0.2</v>
      </c>
      <c r="F106" s="1137">
        <v>30</v>
      </c>
    </row>
    <row r="107" spans="1:6" s="1088" customFormat="1" ht="36">
      <c r="A107" s="1137">
        <v>47</v>
      </c>
      <c r="B107" s="3533" t="s">
        <v>1591</v>
      </c>
      <c r="C107" s="1137" t="s">
        <v>1592</v>
      </c>
      <c r="D107" s="1051" t="s">
        <v>1593</v>
      </c>
      <c r="E107" s="1122">
        <v>0.3</v>
      </c>
      <c r="F107" s="1137">
        <v>50</v>
      </c>
    </row>
    <row r="108" spans="1:6" s="1088" customFormat="1" ht="36">
      <c r="A108" s="1137">
        <v>48</v>
      </c>
      <c r="B108" s="353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3" t="s">
        <v>1602</v>
      </c>
      <c r="C111" s="1137" t="s">
        <v>1603</v>
      </c>
      <c r="D111" s="1051" t="s">
        <v>1604</v>
      </c>
      <c r="E111" s="1122">
        <v>0.2</v>
      </c>
      <c r="F111" s="1137">
        <v>30</v>
      </c>
    </row>
    <row r="112" spans="1:6" s="1088" customFormat="1" ht="24">
      <c r="A112" s="1137">
        <v>52</v>
      </c>
      <c r="B112" s="3533"/>
      <c r="C112" s="1137" t="s">
        <v>1605</v>
      </c>
      <c r="D112" s="1051" t="s">
        <v>1606</v>
      </c>
      <c r="E112" s="1122">
        <v>0.2</v>
      </c>
      <c r="F112" s="1137">
        <v>30</v>
      </c>
    </row>
    <row r="113" spans="1:14" s="1088" customFormat="1" ht="24">
      <c r="A113" s="1137">
        <v>53</v>
      </c>
      <c r="B113" s="353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3" t="s">
        <v>1615</v>
      </c>
      <c r="C116" s="1137" t="s">
        <v>1616</v>
      </c>
      <c r="D116" s="1051" t="s">
        <v>1617</v>
      </c>
      <c r="E116" s="1122">
        <v>0.2</v>
      </c>
      <c r="F116" s="1137">
        <v>30</v>
      </c>
    </row>
    <row r="117" spans="1:14" ht="36">
      <c r="A117" s="1137">
        <v>57</v>
      </c>
      <c r="B117" s="353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2" t="s">
        <v>1624</v>
      </c>
      <c r="B121" s="3532"/>
      <c r="C121" s="3532"/>
      <c r="D121" s="3532"/>
      <c r="E121" s="3532"/>
      <c r="F121" s="3532"/>
      <c r="G121" s="3532"/>
      <c r="H121" s="3532"/>
      <c r="I121" s="3532"/>
      <c r="J121" s="353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2068</v>
      </c>
      <c r="B1" s="353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6" t="s">
        <v>2556</v>
      </c>
      <c r="C1" s="3546"/>
      <c r="D1" s="3546"/>
      <c r="E1" s="3546"/>
      <c r="F1" s="3546"/>
      <c r="G1" s="3545" t="s">
        <v>2557</v>
      </c>
      <c r="H1" s="3545"/>
      <c r="I1" s="3545"/>
      <c r="J1" s="3545"/>
      <c r="K1" s="3545"/>
      <c r="L1" s="3545"/>
      <c r="N1" s="3545" t="s">
        <v>2558</v>
      </c>
      <c r="O1" s="3545"/>
      <c r="P1" s="3545"/>
      <c r="Q1" s="3545"/>
      <c r="S1" s="3545" t="s">
        <v>2559</v>
      </c>
      <c r="T1" s="3545"/>
      <c r="U1" s="3545"/>
      <c r="V1" s="3545"/>
      <c r="X1" s="3544" t="s">
        <v>2619</v>
      </c>
      <c r="Y1" s="3545"/>
      <c r="Z1" s="3545"/>
      <c r="AA1" s="3545"/>
      <c r="AB1" s="3545"/>
      <c r="AD1" s="3544" t="s">
        <v>2623</v>
      </c>
      <c r="AE1" s="3545"/>
      <c r="AF1" s="3545"/>
      <c r="AG1" s="3545"/>
      <c r="AH1" s="3545"/>
    </row>
    <row r="2" spans="1:34" s="2865" customFormat="1" ht="14.2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0">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0"/>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0"/>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1"/>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39">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0"/>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0"/>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1"/>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39">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0"/>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0"/>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3"/>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0"/>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0"/>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3"/>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0"/>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0"/>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3"/>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47">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8"/>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8"/>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9"/>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0"/>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0"/>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43"/>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0">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0">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3">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0">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0">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3">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0">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0">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3">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0">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0">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3">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0">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0">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3">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0">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0">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3">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0">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0">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3">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0">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0">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3">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0">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0">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43">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0">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0">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43">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#VALUE!</v>
      </c>
      <c r="R68" s="2259" t="s">
        <v>2399</v>
      </c>
    </row>
    <row r="69" spans="1:18" s="1943" customFormat="1" ht="21.75" thickBot="1">
      <c r="A69" s="1979"/>
      <c r="B69" s="1980"/>
      <c r="C69" s="1980"/>
      <c r="K69" s="1969"/>
      <c r="O69" s="2257" t="s">
        <v>2368</v>
      </c>
      <c r="P69" s="2255" t="s">
        <v>2398</v>
      </c>
      <c r="Q69" s="2261" t="e">
        <f ca="1">L52</f>
        <v>#VALUE!</v>
      </c>
      <c r="R69" s="2262" t="s">
        <v>2401</v>
      </c>
    </row>
    <row r="70" spans="1:18" s="1943" customFormat="1" ht="20.25" thickBot="1">
      <c r="A70" s="1979"/>
      <c r="B70" s="1980"/>
      <c r="C70" s="1980"/>
      <c r="K70" s="1969"/>
      <c r="O70" s="2257" t="s">
        <v>2369</v>
      </c>
      <c r="P70" s="2263" t="s">
        <v>2383</v>
      </c>
      <c r="Q70" s="2256" t="e">
        <f ca="1">ROUND(Q71-Q72*Q73,0)</f>
        <v>#VALUE!</v>
      </c>
      <c r="R70" s="2259"/>
    </row>
    <row r="71" spans="1:18" s="1943" customFormat="1" ht="15.75" thickBot="1">
      <c r="A71" s="1979"/>
      <c r="B71" s="1980"/>
      <c r="C71" s="1980"/>
      <c r="K71" s="1969"/>
      <c r="O71" s="2257" t="s">
        <v>2384</v>
      </c>
      <c r="P71" s="2263" t="s">
        <v>2385</v>
      </c>
      <c r="Q71" s="2256" t="e">
        <f ca="1">C42</f>
        <v>#VALUE!</v>
      </c>
      <c r="R71" s="2255" t="s">
        <v>2365</v>
      </c>
    </row>
    <row r="72" spans="1:18" s="1943" customFormat="1" ht="15.75" thickBot="1">
      <c r="A72" s="1979"/>
      <c r="B72" s="1980"/>
      <c r="C72" s="1980"/>
      <c r="K72" s="1969"/>
      <c r="O72" s="2257" t="s">
        <v>2386</v>
      </c>
      <c r="P72" s="2263" t="s">
        <v>2387</v>
      </c>
      <c r="Q72" s="2256" t="e">
        <f ca="1">C15</f>
        <v>#VALUE!</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6.25">
      <c r="A7" s="1711" t="s">
        <v>2727</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2906</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5"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20.25"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1.75" thickBot="1">
      <c r="A68" s="776"/>
      <c r="B68" s="777"/>
      <c r="C68" s="778"/>
      <c r="D68" s="810" t="s">
        <v>1799</v>
      </c>
      <c r="E68" s="774" t="s">
        <v>1775</v>
      </c>
      <c r="F68" s="811">
        <f ca="1">F41</f>
        <v>0</v>
      </c>
      <c r="O68" s="2257" t="s">
        <v>2368</v>
      </c>
      <c r="P68" s="2255" t="s">
        <v>2398</v>
      </c>
      <c r="Q68" s="2261" t="e">
        <f ca="1">L51</f>
        <v>#VALUE!</v>
      </c>
      <c r="R68" s="2262" t="s">
        <v>2401</v>
      </c>
    </row>
    <row r="69" spans="1:18" ht="20.25" thickBot="1">
      <c r="A69" s="780"/>
      <c r="B69" s="781"/>
      <c r="C69" s="782"/>
      <c r="D69" s="805"/>
      <c r="E69" s="774" t="s">
        <v>704</v>
      </c>
      <c r="F69" s="2227"/>
      <c r="O69" s="2257" t="s">
        <v>2369</v>
      </c>
      <c r="P69" s="2263" t="s">
        <v>2383</v>
      </c>
      <c r="Q69" s="2256" t="e">
        <f ca="1">ROUND(Q70-Q71*Q72,0)</f>
        <v>#VALUE!</v>
      </c>
      <c r="R69" s="2259"/>
    </row>
    <row r="70" spans="1:18" ht="15.75"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5.75" thickBot="1">
      <c r="O71" s="2257" t="s">
        <v>2386</v>
      </c>
      <c r="P71" s="2263" t="s">
        <v>2387</v>
      </c>
      <c r="Q71" s="2256" t="e">
        <f ca="1">C13</f>
        <v>#VALUE!</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559" t="s">
        <v>2452</v>
      </c>
      <c r="B1" s="3560"/>
      <c r="C1" s="3561"/>
      <c r="D1" s="3562">
        <f>SUM(I10,I15,I20,I21,I23)</f>
        <v>0</v>
      </c>
      <c r="E1" s="3562"/>
      <c r="F1" s="3562"/>
      <c r="G1" s="3562"/>
      <c r="H1" s="3562"/>
      <c r="I1" s="3563"/>
    </row>
    <row r="2" spans="1:9">
      <c r="A2" s="3564" t="s">
        <v>2453</v>
      </c>
      <c r="B2" s="3565" t="s">
        <v>2454</v>
      </c>
      <c r="C2" s="3565"/>
      <c r="D2" s="2361" t="s">
        <v>2455</v>
      </c>
      <c r="E2" s="2361" t="s">
        <v>2456</v>
      </c>
      <c r="F2" s="2361" t="s">
        <v>2457</v>
      </c>
      <c r="G2" s="2361" t="s">
        <v>2458</v>
      </c>
      <c r="H2" s="2361" t="s">
        <v>2459</v>
      </c>
      <c r="I2" s="2362" t="s">
        <v>2460</v>
      </c>
    </row>
    <row r="3" spans="1:9">
      <c r="A3" s="3564"/>
      <c r="B3" s="3565" t="s">
        <v>2461</v>
      </c>
      <c r="C3" s="3565"/>
      <c r="D3" s="2363"/>
      <c r="E3" s="2361"/>
      <c r="F3" s="2364"/>
      <c r="G3" s="2364"/>
      <c r="H3" s="2365"/>
      <c r="I3" s="2366">
        <f>ROUND(D3*E3*F3*G3*H3/10000,0)</f>
        <v>0</v>
      </c>
    </row>
    <row r="4" spans="1:9">
      <c r="A4" s="3564"/>
      <c r="B4" s="3565" t="s">
        <v>2462</v>
      </c>
      <c r="C4" s="3565"/>
      <c r="D4" s="2363"/>
      <c r="E4" s="2361"/>
      <c r="F4" s="2364"/>
      <c r="G4" s="2364"/>
      <c r="H4" s="2365"/>
      <c r="I4" s="2366">
        <f t="shared" ref="I4:I9" si="0">ROUND(D4*E4*F4*G4*H4/10000,0)</f>
        <v>0</v>
      </c>
    </row>
    <row r="5" spans="1:9">
      <c r="A5" s="3564"/>
      <c r="B5" s="3565" t="s">
        <v>2463</v>
      </c>
      <c r="C5" s="3565"/>
      <c r="D5" s="2363"/>
      <c r="E5" s="2361"/>
      <c r="F5" s="2364"/>
      <c r="G5" s="2364"/>
      <c r="H5" s="2365"/>
      <c r="I5" s="2366">
        <f t="shared" si="0"/>
        <v>0</v>
      </c>
    </row>
    <row r="6" spans="1:9">
      <c r="A6" s="3564"/>
      <c r="B6" s="3565" t="s">
        <v>2464</v>
      </c>
      <c r="C6" s="3565"/>
      <c r="D6" s="2363"/>
      <c r="E6" s="2361"/>
      <c r="F6" s="2364"/>
      <c r="G6" s="2364"/>
      <c r="H6" s="2365"/>
      <c r="I6" s="2366">
        <f t="shared" si="0"/>
        <v>0</v>
      </c>
    </row>
    <row r="7" spans="1:9">
      <c r="A7" s="3564"/>
      <c r="B7" s="3565" t="s">
        <v>2465</v>
      </c>
      <c r="C7" s="3565"/>
      <c r="D7" s="2363"/>
      <c r="E7" s="2361"/>
      <c r="F7" s="2364"/>
      <c r="G7" s="2364"/>
      <c r="H7" s="2365"/>
      <c r="I7" s="2366">
        <f t="shared" si="0"/>
        <v>0</v>
      </c>
    </row>
    <row r="8" spans="1:9">
      <c r="A8" s="3564"/>
      <c r="B8" s="3565" t="s">
        <v>2466</v>
      </c>
      <c r="C8" s="3565"/>
      <c r="D8" s="2363"/>
      <c r="E8" s="2361"/>
      <c r="F8" s="2364"/>
      <c r="G8" s="2364"/>
      <c r="H8" s="2365"/>
      <c r="I8" s="2366">
        <f t="shared" si="0"/>
        <v>0</v>
      </c>
    </row>
    <row r="9" spans="1:9">
      <c r="A9" s="3564"/>
      <c r="B9" s="3565" t="s">
        <v>2467</v>
      </c>
      <c r="C9" s="3565"/>
      <c r="D9" s="2363"/>
      <c r="E9" s="2361"/>
      <c r="F9" s="2364"/>
      <c r="G9" s="2364"/>
      <c r="H9" s="2365"/>
      <c r="I9" s="2366">
        <f t="shared" si="0"/>
        <v>0</v>
      </c>
    </row>
    <row r="10" spans="1:9">
      <c r="A10" s="3564"/>
      <c r="B10" s="3566" t="s">
        <v>2468</v>
      </c>
      <c r="C10" s="3566"/>
      <c r="D10" s="2367">
        <v>527</v>
      </c>
      <c r="E10" s="2367" t="e">
        <f>ROUND(D1*10000/D10/H9,0)</f>
        <v>#DIV/0!</v>
      </c>
      <c r="F10" s="2368"/>
      <c r="G10" s="2368"/>
      <c r="H10" s="2369"/>
      <c r="I10" s="2370">
        <f>SUM(I3:I9)</f>
        <v>0</v>
      </c>
    </row>
    <row r="11" spans="1:9" ht="14.25">
      <c r="A11" s="3564" t="s">
        <v>2469</v>
      </c>
      <c r="B11" s="3565" t="s">
        <v>2470</v>
      </c>
      <c r="C11" s="3565"/>
      <c r="D11" s="2363" t="s">
        <v>2471</v>
      </c>
      <c r="E11" s="2363" t="s">
        <v>2472</v>
      </c>
      <c r="F11" s="2364" t="s">
        <v>2473</v>
      </c>
      <c r="G11" s="2364" t="s">
        <v>2474</v>
      </c>
      <c r="H11" s="2371" t="s">
        <v>2475</v>
      </c>
      <c r="I11" s="2362" t="s">
        <v>2476</v>
      </c>
    </row>
    <row r="12" spans="1:9">
      <c r="A12" s="3564"/>
      <c r="B12" s="3565" t="s">
        <v>2477</v>
      </c>
      <c r="C12" s="3565"/>
      <c r="D12" s="2363"/>
      <c r="E12" s="2363"/>
      <c r="F12" s="2364"/>
      <c r="G12" s="2365"/>
      <c r="H12" s="2372"/>
      <c r="I12" s="2362">
        <f>ROUND(D12*E12*F12*G12/10000,0)</f>
        <v>0</v>
      </c>
    </row>
    <row r="13" spans="1:9">
      <c r="A13" s="3564"/>
      <c r="B13" s="3565" t="s">
        <v>2478</v>
      </c>
      <c r="C13" s="3565"/>
      <c r="D13" s="2363"/>
      <c r="E13" s="2363"/>
      <c r="F13" s="2364"/>
      <c r="G13" s="2365"/>
      <c r="H13" s="2372"/>
      <c r="I13" s="2362">
        <f>ROUND(D13*E13*F13*G13/10000,0)</f>
        <v>0</v>
      </c>
    </row>
    <row r="14" spans="1:9">
      <c r="A14" s="3564"/>
      <c r="B14" s="3565" t="s">
        <v>2479</v>
      </c>
      <c r="C14" s="3565"/>
      <c r="D14" s="2363"/>
      <c r="E14" s="2363"/>
      <c r="F14" s="2364"/>
      <c r="G14" s="2365"/>
      <c r="H14" s="2372"/>
      <c r="I14" s="2362">
        <f>ROUND(D14*E14*F14*G14/10000,0)</f>
        <v>0</v>
      </c>
    </row>
    <row r="15" spans="1:9">
      <c r="A15" s="3564"/>
      <c r="B15" s="3566" t="s">
        <v>2468</v>
      </c>
      <c r="C15" s="3566"/>
      <c r="D15" s="2367"/>
      <c r="E15" s="2367">
        <f>SUM(E12:E14)</f>
        <v>0</v>
      </c>
      <c r="F15" s="2368"/>
      <c r="G15" s="2365"/>
      <c r="H15" s="2372"/>
      <c r="I15" s="2373">
        <f>SUM(I12:I14)</f>
        <v>0</v>
      </c>
    </row>
    <row r="16" spans="1:9" ht="24">
      <c r="A16" s="3564" t="s">
        <v>2480</v>
      </c>
      <c r="B16" s="3565" t="s">
        <v>2481</v>
      </c>
      <c r="C16" s="3565"/>
      <c r="D16" s="2363" t="s">
        <v>2482</v>
      </c>
      <c r="E16" s="2374" t="s">
        <v>2483</v>
      </c>
      <c r="F16" s="2364" t="s">
        <v>2484</v>
      </c>
      <c r="G16" s="2365" t="s">
        <v>2474</v>
      </c>
      <c r="H16" s="2371" t="s">
        <v>2475</v>
      </c>
      <c r="I16" s="2362" t="s">
        <v>2476</v>
      </c>
    </row>
    <row r="17" spans="1:9" ht="14.25">
      <c r="A17" s="3564"/>
      <c r="B17" s="3565" t="s">
        <v>2485</v>
      </c>
      <c r="C17" s="3565"/>
      <c r="D17" s="2363"/>
      <c r="E17" s="2363"/>
      <c r="F17" s="2364"/>
      <c r="G17" s="2365"/>
      <c r="H17" s="2375"/>
      <c r="I17" s="2376">
        <f>ROUND(D17*E17*F17*G17/10000,0)</f>
        <v>0</v>
      </c>
    </row>
    <row r="18" spans="1:9" ht="14.25">
      <c r="A18" s="3564"/>
      <c r="B18" s="3565" t="s">
        <v>2486</v>
      </c>
      <c r="C18" s="3565"/>
      <c r="D18" s="2363"/>
      <c r="E18" s="2363"/>
      <c r="F18" s="2364"/>
      <c r="G18" s="2365"/>
      <c r="H18" s="2375"/>
      <c r="I18" s="2376">
        <f>ROUND(D18*E18*F18*G18/10000,0)</f>
        <v>0</v>
      </c>
    </row>
    <row r="19" spans="1:9" ht="14.25">
      <c r="A19" s="3564"/>
      <c r="B19" s="3565" t="s">
        <v>2487</v>
      </c>
      <c r="C19" s="3565"/>
      <c r="D19" s="2363"/>
      <c r="E19" s="2363"/>
      <c r="F19" s="2364"/>
      <c r="G19" s="2365"/>
      <c r="H19" s="2375"/>
      <c r="I19" s="2376">
        <f>ROUND(D19*E19*F19*G19/10000,0)</f>
        <v>0</v>
      </c>
    </row>
    <row r="20" spans="1:9">
      <c r="A20" s="3564"/>
      <c r="B20" s="3566" t="s">
        <v>2468</v>
      </c>
      <c r="C20" s="3566"/>
      <c r="D20" s="2367">
        <f>SUM(D17:D19)</f>
        <v>0</v>
      </c>
      <c r="E20" s="2367"/>
      <c r="F20" s="2368"/>
      <c r="G20" s="2365"/>
      <c r="H20" s="2372"/>
      <c r="I20" s="2373">
        <f>SUM(I17:I19)</f>
        <v>0</v>
      </c>
    </row>
    <row r="21" spans="1:9">
      <c r="A21" s="3564" t="s">
        <v>2488</v>
      </c>
      <c r="B21" s="3568"/>
      <c r="C21" s="3568"/>
      <c r="D21" s="3568"/>
      <c r="E21" s="3568"/>
      <c r="F21" s="3568"/>
      <c r="G21" s="3568"/>
      <c r="H21" s="2377">
        <v>0.1</v>
      </c>
      <c r="I21" s="2370">
        <f>ROUND(I10*H21,0)</f>
        <v>0</v>
      </c>
    </row>
    <row r="22" spans="1:9" ht="14.25">
      <c r="A22" s="3569" t="s">
        <v>2489</v>
      </c>
      <c r="B22" s="3570"/>
      <c r="C22" s="3571"/>
      <c r="D22" s="2378" t="s">
        <v>2490</v>
      </c>
      <c r="E22" s="2378" t="s">
        <v>2491</v>
      </c>
      <c r="F22" s="2379" t="s">
        <v>2492</v>
      </c>
      <c r="G22" s="2379" t="s">
        <v>2493</v>
      </c>
      <c r="H22" s="2371" t="s">
        <v>2494</v>
      </c>
      <c r="I22" s="2362" t="s">
        <v>2495</v>
      </c>
    </row>
    <row r="23" spans="1:9" ht="14.25" thickBot="1">
      <c r="A23" s="3572"/>
      <c r="B23" s="3573"/>
      <c r="C23" s="3574"/>
      <c r="D23" s="2380"/>
      <c r="E23" s="2380"/>
      <c r="F23" s="2380"/>
      <c r="G23" s="2381"/>
      <c r="H23" s="2382"/>
      <c r="I23" s="2383">
        <f>ROUND(E23*D23*F23*(1-G23)/10000,0)</f>
        <v>0</v>
      </c>
    </row>
    <row r="26" spans="1:9">
      <c r="A26" s="2384" t="s">
        <v>2496</v>
      </c>
      <c r="B26" s="2384"/>
      <c r="C26" s="2384"/>
      <c r="D26" s="2384"/>
      <c r="E26" s="3575">
        <f>C27-C30-C31-C32</f>
        <v>0</v>
      </c>
      <c r="F26" s="3575"/>
      <c r="G26" s="3575"/>
      <c r="H26" s="2756" t="s">
        <v>2822</v>
      </c>
    </row>
    <row r="27" spans="1:9">
      <c r="A27" s="2385">
        <v>1</v>
      </c>
      <c r="B27" s="2386" t="s">
        <v>2497</v>
      </c>
      <c r="C27" s="2386"/>
      <c r="D27" s="2386"/>
      <c r="E27" s="3576"/>
      <c r="F27" s="3576"/>
      <c r="G27" s="3576"/>
    </row>
    <row r="28" spans="1:9">
      <c r="A28" s="2387" t="s">
        <v>2498</v>
      </c>
      <c r="B28" s="2386" t="s">
        <v>2499</v>
      </c>
      <c r="C28" s="2386"/>
      <c r="D28" s="2386"/>
      <c r="E28" s="3576"/>
      <c r="F28" s="3576"/>
      <c r="G28" s="3576"/>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7"/>
      <c r="F32" s="3567"/>
      <c r="G32" s="3567"/>
    </row>
    <row r="33" spans="1:7" hidden="1">
      <c r="A33" s="3577" t="s">
        <v>2507</v>
      </c>
      <c r="B33" s="3578"/>
      <c r="C33" s="3578"/>
      <c r="D33" s="3579"/>
      <c r="E33" s="3575"/>
      <c r="F33" s="3575"/>
      <c r="G33" s="3575"/>
    </row>
    <row r="34" spans="1:7" hidden="1">
      <c r="A34" s="2389">
        <v>1</v>
      </c>
      <c r="B34" s="2386" t="s">
        <v>2508</v>
      </c>
      <c r="C34" s="2386"/>
      <c r="D34" s="2386"/>
      <c r="E34" s="3576"/>
      <c r="F34" s="3576"/>
      <c r="G34" s="3576"/>
    </row>
    <row r="35" spans="1:7" hidden="1">
      <c r="A35" s="2389">
        <v>2</v>
      </c>
      <c r="B35" s="2386" t="s">
        <v>2509</v>
      </c>
      <c r="C35" s="2386"/>
      <c r="D35" s="2386"/>
      <c r="E35" s="3576"/>
      <c r="F35" s="3576"/>
      <c r="G35" s="3576"/>
    </row>
    <row r="36" spans="1:7" hidden="1">
      <c r="A36" s="2389">
        <v>3</v>
      </c>
      <c r="B36" s="2386" t="s">
        <v>2510</v>
      </c>
      <c r="C36" s="2386"/>
      <c r="D36" s="2386"/>
      <c r="E36" s="3576"/>
      <c r="F36" s="3576"/>
      <c r="G36" s="3576"/>
    </row>
    <row r="37" spans="1:7" hidden="1">
      <c r="A37" s="2389">
        <v>4</v>
      </c>
      <c r="B37" s="2386" t="s">
        <v>2511</v>
      </c>
      <c r="C37" s="2386"/>
      <c r="D37" s="2386"/>
      <c r="E37" s="3576"/>
      <c r="F37" s="3576"/>
      <c r="G37" s="3576"/>
    </row>
    <row r="38" spans="1:7" hidden="1">
      <c r="A38" s="3577" t="s">
        <v>2512</v>
      </c>
      <c r="B38" s="3578"/>
      <c r="C38" s="3578"/>
      <c r="D38" s="3579"/>
      <c r="E38" s="3575"/>
      <c r="F38" s="3575"/>
      <c r="G38" s="35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69" t="s">
        <v>516</v>
      </c>
      <c r="D4" s="3470"/>
      <c r="E4" s="3503" t="s">
        <v>517</v>
      </c>
      <c r="F4" s="3504"/>
      <c r="G4" s="3469" t="s">
        <v>518</v>
      </c>
      <c r="H4" s="3470"/>
      <c r="I4" s="3469" t="s">
        <v>519</v>
      </c>
      <c r="J4" s="3470"/>
      <c r="K4" s="842"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6" t="s">
        <v>518</v>
      </c>
      <c r="AC4" s="3466" t="s">
        <v>519</v>
      </c>
    </row>
    <row r="5" spans="1:29" ht="15">
      <c r="A5" s="509"/>
      <c r="B5" s="510"/>
      <c r="C5" s="3485" t="s">
        <v>2894</v>
      </c>
      <c r="D5" s="3486"/>
      <c r="E5" s="3505" t="s">
        <v>2895</v>
      </c>
      <c r="F5" s="3506"/>
      <c r="G5" s="3485" t="s">
        <v>2896</v>
      </c>
      <c r="H5" s="3486"/>
      <c r="I5" s="3485" t="s">
        <v>2897</v>
      </c>
      <c r="J5" s="3486"/>
      <c r="K5" s="843"/>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843"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4" t="s">
        <v>524</v>
      </c>
      <c r="Q7" s="3496"/>
      <c r="R7" s="1503" t="s">
        <v>13</v>
      </c>
      <c r="S7" s="1504">
        <f t="shared" ref="S7:S15" si="0">F7</f>
        <v>0</v>
      </c>
      <c r="T7" s="1503" t="s">
        <v>13</v>
      </c>
      <c r="U7" s="1504">
        <f t="shared" ref="U7:U15" si="1">H7</f>
        <v>0</v>
      </c>
      <c r="V7" s="1503" t="s">
        <v>13</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4" t="s">
        <v>527</v>
      </c>
      <c r="Q8" s="3495"/>
      <c r="R8" s="1503" t="s">
        <v>13</v>
      </c>
      <c r="S8" s="1504">
        <f t="shared" si="0"/>
        <v>0</v>
      </c>
      <c r="T8" s="1503" t="s">
        <v>13</v>
      </c>
      <c r="U8" s="1504">
        <f t="shared" si="1"/>
        <v>0</v>
      </c>
      <c r="V8" s="1503" t="s">
        <v>13</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3"/>
      <c r="Q11" s="1134" t="str">
        <f t="shared" si="6"/>
        <v>容积率</v>
      </c>
      <c r="R11" s="1503" t="s">
        <v>11</v>
      </c>
      <c r="S11" s="1504" t="e">
        <f t="shared" si="0"/>
        <v>#N/A</v>
      </c>
      <c r="T11" s="1503" t="s">
        <v>11</v>
      </c>
      <c r="U11" s="1504" t="e">
        <f t="shared" si="1"/>
        <v>#N/A</v>
      </c>
      <c r="V11" s="1503" t="s">
        <v>11</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3"/>
      <c r="Q12" s="1134">
        <f t="shared" si="6"/>
        <v>111</v>
      </c>
      <c r="R12" s="1503" t="s">
        <v>11</v>
      </c>
      <c r="S12" s="1504">
        <f t="shared" si="0"/>
        <v>100</v>
      </c>
      <c r="T12" s="1503" t="s">
        <v>11</v>
      </c>
      <c r="U12" s="1504">
        <f t="shared" si="1"/>
        <v>100</v>
      </c>
      <c r="V12" s="1503" t="s">
        <v>11</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3"/>
      <c r="Q13" s="1134">
        <f t="shared" si="6"/>
        <v>111</v>
      </c>
      <c r="R13" s="1503" t="s">
        <v>11</v>
      </c>
      <c r="S13" s="1504">
        <f t="shared" si="0"/>
        <v>100</v>
      </c>
      <c r="T13" s="1503" t="s">
        <v>11</v>
      </c>
      <c r="U13" s="1504">
        <f t="shared" si="1"/>
        <v>100</v>
      </c>
      <c r="V13" s="1503" t="s">
        <v>11</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3"/>
      <c r="Q14" s="1134">
        <f t="shared" si="6"/>
        <v>111</v>
      </c>
      <c r="R14" s="1503" t="s">
        <v>11</v>
      </c>
      <c r="S14" s="1504">
        <f t="shared" si="0"/>
        <v>100</v>
      </c>
      <c r="T14" s="1503" t="s">
        <v>11</v>
      </c>
      <c r="U14" s="1504">
        <f t="shared" si="1"/>
        <v>100</v>
      </c>
      <c r="V14" s="1503" t="s">
        <v>11</v>
      </c>
      <c r="W14" s="1504">
        <f t="shared" si="2"/>
        <v>100</v>
      </c>
      <c r="X14" s="1505"/>
      <c r="Y14" s="3409"/>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7" t="s">
        <v>534</v>
      </c>
      <c r="Q15" s="1507" t="str">
        <f t="shared" si="6"/>
        <v>居住社区成熟度</v>
      </c>
      <c r="R15" s="1508" t="s">
        <v>11</v>
      </c>
      <c r="S15" s="1509">
        <f t="shared" si="0"/>
        <v>100</v>
      </c>
      <c r="T15" s="1508" t="s">
        <v>11</v>
      </c>
      <c r="U15" s="1509">
        <f t="shared" si="1"/>
        <v>100</v>
      </c>
      <c r="V15" s="1508" t="s">
        <v>11</v>
      </c>
      <c r="W15" s="1509">
        <f t="shared" si="2"/>
        <v>100</v>
      </c>
      <c r="X15" s="1502"/>
      <c r="Y15" s="3497"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8"/>
      <c r="Q17" s="1507" t="str">
        <f>B17</f>
        <v>交通便捷度</v>
      </c>
      <c r="R17" s="1508" t="s">
        <v>11</v>
      </c>
      <c r="S17" s="1509">
        <f>F17</f>
        <v>100</v>
      </c>
      <c r="T17" s="1508" t="s">
        <v>11</v>
      </c>
      <c r="U17" s="1509">
        <f>H17</f>
        <v>100</v>
      </c>
      <c r="V17" s="1508" t="s">
        <v>11</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8"/>
      <c r="Q19" s="1507" t="str">
        <f>B19</f>
        <v>公共配套设施</v>
      </c>
      <c r="R19" s="1508" t="s">
        <v>11</v>
      </c>
      <c r="S19" s="1509">
        <f>F19</f>
        <v>100</v>
      </c>
      <c r="T19" s="1508" t="s">
        <v>11</v>
      </c>
      <c r="U19" s="1509">
        <f>H19</f>
        <v>100</v>
      </c>
      <c r="V19" s="1508" t="s">
        <v>11</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8"/>
      <c r="Q21" s="2430" t="str">
        <f>B21</f>
        <v>基础设施水平</v>
      </c>
      <c r="R21" s="1508" t="s">
        <v>11</v>
      </c>
      <c r="S21" s="1509">
        <f>F21</f>
        <v>100</v>
      </c>
      <c r="T21" s="1508" t="s">
        <v>11</v>
      </c>
      <c r="U21" s="1509">
        <f>H21</f>
        <v>100</v>
      </c>
      <c r="V21" s="1508" t="s">
        <v>11</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8"/>
      <c r="Q23" s="1507" t="str">
        <f>B23</f>
        <v>自然及人文环境</v>
      </c>
      <c r="R23" s="1508" t="s">
        <v>11</v>
      </c>
      <c r="S23" s="1509">
        <f>F23</f>
        <v>100</v>
      </c>
      <c r="T23" s="1508" t="s">
        <v>11</v>
      </c>
      <c r="U23" s="1509">
        <f>H23</f>
        <v>100</v>
      </c>
      <c r="V23" s="1508" t="s">
        <v>11</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8"/>
      <c r="Q25" s="1507" t="str">
        <f t="shared" ref="Q25:Q46" si="11">B25</f>
        <v>楼层-1</v>
      </c>
      <c r="R25" s="1508" t="s">
        <v>11</v>
      </c>
      <c r="S25" s="1509">
        <f>F25</f>
        <v>100</v>
      </c>
      <c r="T25" s="1508" t="s">
        <v>11</v>
      </c>
      <c r="U25" s="1509">
        <f>H25</f>
        <v>100</v>
      </c>
      <c r="V25" s="1508" t="s">
        <v>11</v>
      </c>
      <c r="W25" s="1509">
        <f>J25</f>
        <v>100</v>
      </c>
      <c r="X25" s="1502"/>
      <c r="Y25" s="349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8"/>
      <c r="Q26" s="1507" t="str">
        <f t="shared" si="11"/>
        <v>朝向</v>
      </c>
      <c r="R26" s="1508" t="s">
        <v>11</v>
      </c>
      <c r="S26" s="1509">
        <f>F26</f>
        <v>100</v>
      </c>
      <c r="T26" s="1508" t="s">
        <v>11</v>
      </c>
      <c r="U26" s="1509">
        <f>H26</f>
        <v>100</v>
      </c>
      <c r="V26" s="1508" t="s">
        <v>11</v>
      </c>
      <c r="W26" s="1509">
        <f>J26</f>
        <v>100</v>
      </c>
      <c r="X26" s="1502"/>
      <c r="Y26" s="349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8"/>
      <c r="Q27" s="1134" t="str">
        <f t="shared" si="11"/>
        <v>道路级别</v>
      </c>
      <c r="R27" s="1503" t="s">
        <v>11</v>
      </c>
      <c r="S27" s="1504">
        <f>F27</f>
        <v>100</v>
      </c>
      <c r="T27" s="1503" t="s">
        <v>11</v>
      </c>
      <c r="U27" s="1504">
        <f>H27</f>
        <v>100</v>
      </c>
      <c r="V27" s="1503" t="s">
        <v>11</v>
      </c>
      <c r="W27" s="1504">
        <f>J27</f>
        <v>100</v>
      </c>
      <c r="X27" s="1505"/>
      <c r="Y27" s="349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8"/>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8"/>
      <c r="Q29" s="1507">
        <f t="shared" si="11"/>
        <v>111</v>
      </c>
      <c r="R29" s="1508" t="s">
        <v>11</v>
      </c>
      <c r="S29" s="1509">
        <f t="shared" si="12"/>
        <v>100</v>
      </c>
      <c r="T29" s="1508" t="s">
        <v>11</v>
      </c>
      <c r="U29" s="1509">
        <f t="shared" si="13"/>
        <v>100</v>
      </c>
      <c r="V29" s="1508" t="s">
        <v>11</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8"/>
      <c r="Q30" s="1507">
        <f t="shared" si="11"/>
        <v>111</v>
      </c>
      <c r="R30" s="1508" t="s">
        <v>11</v>
      </c>
      <c r="S30" s="1509">
        <f t="shared" si="12"/>
        <v>100</v>
      </c>
      <c r="T30" s="1508" t="s">
        <v>11</v>
      </c>
      <c r="U30" s="1509">
        <f t="shared" si="13"/>
        <v>100</v>
      </c>
      <c r="V30" s="1508" t="s">
        <v>11</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8"/>
      <c r="Q31" s="1507">
        <f t="shared" si="11"/>
        <v>111</v>
      </c>
      <c r="R31" s="1508" t="s">
        <v>11</v>
      </c>
      <c r="S31" s="1509">
        <f t="shared" si="12"/>
        <v>100</v>
      </c>
      <c r="T31" s="1508" t="s">
        <v>11</v>
      </c>
      <c r="U31" s="1509">
        <f t="shared" si="13"/>
        <v>100</v>
      </c>
      <c r="V31" s="1508" t="s">
        <v>11</v>
      </c>
      <c r="W31" s="1509">
        <f t="shared" si="14"/>
        <v>100</v>
      </c>
      <c r="X31" s="1502"/>
      <c r="Y31" s="3498"/>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9" t="s">
        <v>544</v>
      </c>
      <c r="Q32" s="1507" t="str">
        <f t="shared" si="11"/>
        <v>建筑类型</v>
      </c>
      <c r="R32" s="1508" t="s">
        <v>11</v>
      </c>
      <c r="S32" s="1509">
        <f t="shared" si="12"/>
        <v>100</v>
      </c>
      <c r="T32" s="1508" t="s">
        <v>11</v>
      </c>
      <c r="U32" s="1509">
        <f t="shared" si="13"/>
        <v>100</v>
      </c>
      <c r="V32" s="1508" t="s">
        <v>11</v>
      </c>
      <c r="W32" s="1509">
        <f t="shared" si="14"/>
        <v>100</v>
      </c>
      <c r="X32" s="1502"/>
      <c r="Y32" s="3500"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0"/>
      <c r="Q33" s="1536" t="str">
        <f t="shared" si="11"/>
        <v>项目建筑规模</v>
      </c>
      <c r="R33" s="1512" t="s">
        <v>11</v>
      </c>
      <c r="S33" s="1513" t="e">
        <f t="shared" si="12"/>
        <v>#N/A</v>
      </c>
      <c r="T33" s="1512" t="s">
        <v>11</v>
      </c>
      <c r="U33" s="1513" t="e">
        <f t="shared" si="13"/>
        <v>#N/A</v>
      </c>
      <c r="V33" s="1512" t="s">
        <v>11</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0"/>
      <c r="Q34" s="1507" t="str">
        <f t="shared" si="11"/>
        <v>建筑结构</v>
      </c>
      <c r="R34" s="1508" t="s">
        <v>11</v>
      </c>
      <c r="S34" s="1509">
        <f t="shared" si="12"/>
        <v>100</v>
      </c>
      <c r="T34" s="1508" t="s">
        <v>11</v>
      </c>
      <c r="U34" s="1509">
        <f t="shared" si="13"/>
        <v>100</v>
      </c>
      <c r="V34" s="1508" t="s">
        <v>11</v>
      </c>
      <c r="W34" s="1509">
        <f t="shared" si="14"/>
        <v>100</v>
      </c>
      <c r="X34" s="1502"/>
      <c r="Y34" s="3500"/>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0"/>
      <c r="Q35" s="1507" t="str">
        <f t="shared" si="11"/>
        <v>建筑品质</v>
      </c>
      <c r="R35" s="1508" t="s">
        <v>11</v>
      </c>
      <c r="S35" s="1509">
        <f t="shared" si="12"/>
        <v>100</v>
      </c>
      <c r="T35" s="1508" t="s">
        <v>11</v>
      </c>
      <c r="U35" s="1509">
        <f t="shared" si="13"/>
        <v>100</v>
      </c>
      <c r="V35" s="1508" t="s">
        <v>11</v>
      </c>
      <c r="W35" s="1509">
        <f t="shared" si="14"/>
        <v>100</v>
      </c>
      <c r="X35" s="1502"/>
      <c r="Y35" s="3500"/>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0"/>
      <c r="Q36" s="1507" t="str">
        <f t="shared" si="11"/>
        <v>公共部分装修</v>
      </c>
      <c r="R36" s="1508" t="s">
        <v>11</v>
      </c>
      <c r="S36" s="1509">
        <f t="shared" si="12"/>
        <v>100</v>
      </c>
      <c r="T36" s="1508" t="s">
        <v>11</v>
      </c>
      <c r="U36" s="1509">
        <f t="shared" si="13"/>
        <v>100</v>
      </c>
      <c r="V36" s="1508" t="s">
        <v>11</v>
      </c>
      <c r="W36" s="1509">
        <f t="shared" si="14"/>
        <v>100</v>
      </c>
      <c r="X36" s="1502"/>
      <c r="Y36" s="3500"/>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0"/>
      <c r="Q37" s="1134" t="str">
        <f t="shared" si="11"/>
        <v>成新度</v>
      </c>
      <c r="R37" s="1503" t="s">
        <v>11</v>
      </c>
      <c r="S37" s="1504" t="e">
        <f t="shared" si="12"/>
        <v>#N/A</v>
      </c>
      <c r="T37" s="1503" t="s">
        <v>11</v>
      </c>
      <c r="U37" s="1504" t="e">
        <f t="shared" si="13"/>
        <v>#N/A</v>
      </c>
      <c r="V37" s="1503" t="s">
        <v>11</v>
      </c>
      <c r="W37" s="1504" t="e">
        <f t="shared" si="14"/>
        <v>#N/A</v>
      </c>
      <c r="X37" s="1505"/>
      <c r="Y37" s="3500"/>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0" t="s">
        <v>544</v>
      </c>
      <c r="Q38" s="1507" t="str">
        <f t="shared" si="11"/>
        <v>物业管理</v>
      </c>
      <c r="R38" s="1508" t="s">
        <v>11</v>
      </c>
      <c r="S38" s="1509">
        <f t="shared" si="12"/>
        <v>100</v>
      </c>
      <c r="T38" s="1508" t="s">
        <v>11</v>
      </c>
      <c r="U38" s="1509">
        <f t="shared" si="13"/>
        <v>100</v>
      </c>
      <c r="V38" s="1508" t="s">
        <v>11</v>
      </c>
      <c r="W38" s="1509">
        <f t="shared" si="14"/>
        <v>100</v>
      </c>
      <c r="X38" s="1502"/>
      <c r="Y38" s="350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0"/>
      <c r="Q39" s="1507" t="str">
        <f t="shared" si="11"/>
        <v>市政基础设施</v>
      </c>
      <c r="R39" s="1508" t="s">
        <v>11</v>
      </c>
      <c r="S39" s="1509">
        <f t="shared" si="12"/>
        <v>100</v>
      </c>
      <c r="T39" s="1508" t="s">
        <v>11</v>
      </c>
      <c r="U39" s="1509">
        <f t="shared" si="13"/>
        <v>100</v>
      </c>
      <c r="V39" s="1508" t="s">
        <v>11</v>
      </c>
      <c r="W39" s="1509">
        <f t="shared" si="14"/>
        <v>100</v>
      </c>
      <c r="X39" s="1502"/>
      <c r="Y39" s="350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0"/>
      <c r="Q40" s="1507" t="str">
        <f t="shared" si="11"/>
        <v>房型</v>
      </c>
      <c r="R40" s="1508" t="s">
        <v>11</v>
      </c>
      <c r="S40" s="1509">
        <f t="shared" si="12"/>
        <v>100</v>
      </c>
      <c r="T40" s="1508" t="s">
        <v>11</v>
      </c>
      <c r="U40" s="1509">
        <f t="shared" si="13"/>
        <v>100</v>
      </c>
      <c r="V40" s="1508" t="s">
        <v>11</v>
      </c>
      <c r="W40" s="1509">
        <f t="shared" si="14"/>
        <v>100</v>
      </c>
      <c r="X40" s="1502"/>
      <c r="Y40" s="350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0"/>
      <c r="Q41" s="1536" t="str">
        <f t="shared" si="11"/>
        <v>单套/主力户型建筑面积</v>
      </c>
      <c r="R41" s="1512" t="s">
        <v>11</v>
      </c>
      <c r="S41" s="1513">
        <f t="shared" si="12"/>
        <v>100</v>
      </c>
      <c r="T41" s="1512" t="s">
        <v>11</v>
      </c>
      <c r="U41" s="1513">
        <f t="shared" si="13"/>
        <v>100</v>
      </c>
      <c r="V41" s="1512" t="s">
        <v>11</v>
      </c>
      <c r="W41" s="1513">
        <f t="shared" si="14"/>
        <v>100</v>
      </c>
      <c r="X41" s="1514"/>
      <c r="Y41" s="3500"/>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0"/>
      <c r="Q42" s="1507" t="str">
        <f t="shared" si="11"/>
        <v>内部装修</v>
      </c>
      <c r="R42" s="1508" t="s">
        <v>11</v>
      </c>
      <c r="S42" s="1509">
        <f t="shared" si="12"/>
        <v>100</v>
      </c>
      <c r="T42" s="1508" t="s">
        <v>11</v>
      </c>
      <c r="U42" s="1509">
        <f t="shared" si="13"/>
        <v>100</v>
      </c>
      <c r="V42" s="1508" t="s">
        <v>11</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0"/>
      <c r="Q43" s="1507" t="str">
        <f t="shared" si="11"/>
        <v>内部装修维护情况</v>
      </c>
      <c r="R43" s="1508" t="s">
        <v>11</v>
      </c>
      <c r="S43" s="1509">
        <f t="shared" si="12"/>
        <v>100</v>
      </c>
      <c r="T43" s="1508" t="s">
        <v>11</v>
      </c>
      <c r="U43" s="1509">
        <f t="shared" si="13"/>
        <v>100</v>
      </c>
      <c r="V43" s="1508" t="s">
        <v>11</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0"/>
      <c r="Q44" s="1134">
        <f t="shared" si="11"/>
        <v>111</v>
      </c>
      <c r="R44" s="1503" t="s">
        <v>11</v>
      </c>
      <c r="S44" s="1504">
        <f t="shared" si="12"/>
        <v>100</v>
      </c>
      <c r="T44" s="1503" t="s">
        <v>11</v>
      </c>
      <c r="U44" s="1504">
        <f t="shared" si="13"/>
        <v>100</v>
      </c>
      <c r="V44" s="1503" t="s">
        <v>11</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0"/>
      <c r="Q45" s="1507">
        <f t="shared" si="11"/>
        <v>111</v>
      </c>
      <c r="R45" s="1508" t="s">
        <v>11</v>
      </c>
      <c r="S45" s="1509">
        <f t="shared" si="12"/>
        <v>100</v>
      </c>
      <c r="T45" s="1508" t="s">
        <v>11</v>
      </c>
      <c r="U45" s="1509">
        <f t="shared" si="13"/>
        <v>100</v>
      </c>
      <c r="V45" s="1508" t="s">
        <v>11</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3" t="str">
        <f>A47</f>
        <v>成交单价（元/平方米）</v>
      </c>
      <c r="Q47" s="3463"/>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63" t="str">
        <f>A48</f>
        <v>比较价格（元/平方米）</v>
      </c>
      <c r="Q48" s="3463"/>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60" t="str">
        <f>A49</f>
        <v>估价对象XX用房的比较价格（楼面单价，元/平方米）</v>
      </c>
      <c r="Q49" s="3461"/>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69" t="s">
        <v>516</v>
      </c>
      <c r="D4" s="3470"/>
      <c r="E4" s="3503" t="s">
        <v>517</v>
      </c>
      <c r="F4" s="3504"/>
      <c r="G4" s="3469" t="s">
        <v>518</v>
      </c>
      <c r="H4" s="3470"/>
      <c r="I4" s="3469" t="s">
        <v>519</v>
      </c>
      <c r="J4" s="3470"/>
      <c r="K4" s="508"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4"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4"/>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4"/>
      <c r="AC6" s="3468"/>
    </row>
    <row r="7" spans="1:29" s="1203" customFormat="1" ht="15.75" thickBot="1">
      <c r="A7" s="2630"/>
      <c r="B7" s="2637" t="s">
        <v>523</v>
      </c>
      <c r="C7" s="513">
        <f>'数据-取费表'!B2</f>
        <v>43686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4"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7" t="s">
        <v>534</v>
      </c>
      <c r="Q15" s="1507" t="str">
        <f t="shared" si="6"/>
        <v>商业繁华度</v>
      </c>
      <c r="R15" s="1508" t="s">
        <v>8</v>
      </c>
      <c r="S15" s="1509">
        <f t="shared" si="0"/>
        <v>100</v>
      </c>
      <c r="T15" s="1508" t="s">
        <v>8</v>
      </c>
      <c r="U15" s="1509">
        <f t="shared" si="1"/>
        <v>100</v>
      </c>
      <c r="V15" s="1508" t="s">
        <v>8</v>
      </c>
      <c r="W15" s="1509">
        <f t="shared" si="2"/>
        <v>100</v>
      </c>
      <c r="X15" s="1502"/>
      <c r="Y15" s="349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8"/>
      <c r="Q23" s="1507" t="str">
        <f>B23</f>
        <v>自然及人文环境</v>
      </c>
      <c r="R23" s="1508" t="s">
        <v>8</v>
      </c>
      <c r="S23" s="1509">
        <f>F23</f>
        <v>100</v>
      </c>
      <c r="T23" s="1508" t="s">
        <v>8</v>
      </c>
      <c r="U23" s="1509">
        <f>H23</f>
        <v>100</v>
      </c>
      <c r="V23" s="1508" t="s">
        <v>8</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8"/>
      <c r="Q25" s="1507" t="str">
        <f t="shared" ref="Q25:Q46" si="11">B25</f>
        <v>临街状况</v>
      </c>
      <c r="R25" s="1508" t="s">
        <v>8</v>
      </c>
      <c r="S25" s="1509">
        <f>F25</f>
        <v>100</v>
      </c>
      <c r="T25" s="1508" t="s">
        <v>8</v>
      </c>
      <c r="U25" s="1509">
        <f>H25</f>
        <v>100</v>
      </c>
      <c r="V25" s="1508" t="s">
        <v>8</v>
      </c>
      <c r="W25" s="1509">
        <f>J25</f>
        <v>100</v>
      </c>
      <c r="X25" s="1502"/>
      <c r="Y25" s="349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8"/>
      <c r="Q26" s="1507" t="str">
        <f t="shared" si="11"/>
        <v>平面位置/可视性</v>
      </c>
      <c r="R26" s="1508" t="s">
        <v>8</v>
      </c>
      <c r="S26" s="1509">
        <f>F26</f>
        <v>100</v>
      </c>
      <c r="T26" s="1508" t="s">
        <v>8</v>
      </c>
      <c r="U26" s="1509">
        <f>H26</f>
        <v>100</v>
      </c>
      <c r="V26" s="1508" t="s">
        <v>8</v>
      </c>
      <c r="W26" s="1509">
        <f>J26</f>
        <v>100</v>
      </c>
      <c r="X26" s="1502"/>
      <c r="Y26" s="349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8"/>
      <c r="Q27" s="1134" t="str">
        <f t="shared" si="11"/>
        <v>人流量</v>
      </c>
      <c r="R27" s="1503" t="s">
        <v>8</v>
      </c>
      <c r="S27" s="1504">
        <f>F27</f>
        <v>100</v>
      </c>
      <c r="T27" s="1503" t="s">
        <v>8</v>
      </c>
      <c r="U27" s="1504">
        <f>H27</f>
        <v>100</v>
      </c>
      <c r="V27" s="1503" t="s">
        <v>8</v>
      </c>
      <c r="W27" s="1504">
        <f>J27</f>
        <v>100</v>
      </c>
      <c r="X27" s="1505"/>
      <c r="Y27" s="349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8"/>
      <c r="Q29" s="1507">
        <f t="shared" si="11"/>
        <v>111</v>
      </c>
      <c r="R29" s="1508" t="s">
        <v>8</v>
      </c>
      <c r="S29" s="1509">
        <f t="shared" si="12"/>
        <v>100</v>
      </c>
      <c r="T29" s="1508" t="s">
        <v>8</v>
      </c>
      <c r="U29" s="1509">
        <f t="shared" si="13"/>
        <v>100</v>
      </c>
      <c r="V29" s="1508" t="s">
        <v>8</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9" t="s">
        <v>544</v>
      </c>
      <c r="Q32" s="1507" t="str">
        <f t="shared" si="11"/>
        <v>商业类型</v>
      </c>
      <c r="R32" s="1508" t="s">
        <v>8</v>
      </c>
      <c r="S32" s="1509">
        <f t="shared" si="12"/>
        <v>100</v>
      </c>
      <c r="T32" s="1508" t="s">
        <v>8</v>
      </c>
      <c r="U32" s="1509">
        <f t="shared" si="13"/>
        <v>100</v>
      </c>
      <c r="V32" s="1508" t="s">
        <v>8</v>
      </c>
      <c r="W32" s="1509">
        <f t="shared" si="14"/>
        <v>100</v>
      </c>
      <c r="X32" s="1502"/>
      <c r="Y32" s="350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0"/>
      <c r="Q33" s="1536" t="str">
        <f t="shared" si="11"/>
        <v>项目建筑规模</v>
      </c>
      <c r="R33" s="1512" t="s">
        <v>8</v>
      </c>
      <c r="S33" s="1513" t="e">
        <f t="shared" si="12"/>
        <v>#N/A</v>
      </c>
      <c r="T33" s="1512" t="s">
        <v>8</v>
      </c>
      <c r="U33" s="1513" t="e">
        <f t="shared" si="13"/>
        <v>#N/A</v>
      </c>
      <c r="V33" s="1512" t="s">
        <v>8</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0"/>
      <c r="Q34" s="1507" t="str">
        <f t="shared" si="11"/>
        <v>建筑结构</v>
      </c>
      <c r="R34" s="1508" t="s">
        <v>8</v>
      </c>
      <c r="S34" s="1509">
        <f t="shared" si="12"/>
        <v>100</v>
      </c>
      <c r="T34" s="1508" t="s">
        <v>8</v>
      </c>
      <c r="U34" s="1509">
        <f t="shared" si="13"/>
        <v>100</v>
      </c>
      <c r="V34" s="1508" t="s">
        <v>8</v>
      </c>
      <c r="W34" s="1509">
        <f t="shared" si="14"/>
        <v>100</v>
      </c>
      <c r="X34" s="1502"/>
      <c r="Y34" s="350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0"/>
      <c r="Q35" s="1507" t="str">
        <f t="shared" si="11"/>
        <v>公共部分装修</v>
      </c>
      <c r="R35" s="1508" t="s">
        <v>8</v>
      </c>
      <c r="S35" s="1509">
        <f t="shared" si="12"/>
        <v>100</v>
      </c>
      <c r="T35" s="1508" t="s">
        <v>8</v>
      </c>
      <c r="U35" s="1509">
        <f t="shared" si="13"/>
        <v>100</v>
      </c>
      <c r="V35" s="1508" t="s">
        <v>8</v>
      </c>
      <c r="W35" s="1509">
        <f t="shared" si="14"/>
        <v>100</v>
      </c>
      <c r="X35" s="1502"/>
      <c r="Y35" s="350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0"/>
      <c r="Q36" s="1507" t="str">
        <f t="shared" si="11"/>
        <v>成新度</v>
      </c>
      <c r="R36" s="1508" t="s">
        <v>8</v>
      </c>
      <c r="S36" s="1509" t="e">
        <f t="shared" si="12"/>
        <v>#N/A</v>
      </c>
      <c r="T36" s="1508" t="s">
        <v>8</v>
      </c>
      <c r="U36" s="1509" t="e">
        <f t="shared" si="13"/>
        <v>#N/A</v>
      </c>
      <c r="V36" s="1508" t="s">
        <v>8</v>
      </c>
      <c r="W36" s="1509" t="e">
        <f t="shared" si="14"/>
        <v>#N/A</v>
      </c>
      <c r="X36" s="1502"/>
      <c r="Y36" s="350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0"/>
      <c r="Q37" s="1134" t="str">
        <f t="shared" si="11"/>
        <v>市政基础设施</v>
      </c>
      <c r="R37" s="1503" t="s">
        <v>8</v>
      </c>
      <c r="S37" s="1504">
        <f t="shared" si="12"/>
        <v>100</v>
      </c>
      <c r="T37" s="1503" t="s">
        <v>8</v>
      </c>
      <c r="U37" s="1504">
        <f t="shared" si="13"/>
        <v>100</v>
      </c>
      <c r="V37" s="1503" t="s">
        <v>8</v>
      </c>
      <c r="W37" s="1504">
        <f t="shared" si="14"/>
        <v>100</v>
      </c>
      <c r="X37" s="1505"/>
      <c r="Y37" s="350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0" t="s">
        <v>760</v>
      </c>
      <c r="Q38" s="1507" t="str">
        <f t="shared" si="11"/>
        <v>业态</v>
      </c>
      <c r="R38" s="1508" t="s">
        <v>8</v>
      </c>
      <c r="S38" s="1509">
        <f t="shared" si="12"/>
        <v>100</v>
      </c>
      <c r="T38" s="1508" t="s">
        <v>8</v>
      </c>
      <c r="U38" s="1509">
        <f t="shared" si="13"/>
        <v>100</v>
      </c>
      <c r="V38" s="1508" t="s">
        <v>8</v>
      </c>
      <c r="W38" s="1509">
        <f t="shared" si="14"/>
        <v>100</v>
      </c>
      <c r="X38" s="1502"/>
      <c r="Y38" s="350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c r="Q39" s="1507" t="str">
        <f t="shared" si="11"/>
        <v>层高</v>
      </c>
      <c r="R39" s="1508" t="s">
        <v>8</v>
      </c>
      <c r="S39" s="1509">
        <f t="shared" si="12"/>
        <v>100</v>
      </c>
      <c r="T39" s="1508" t="s">
        <v>8</v>
      </c>
      <c r="U39" s="1509">
        <f t="shared" si="13"/>
        <v>100</v>
      </c>
      <c r="V39" s="1508" t="s">
        <v>8</v>
      </c>
      <c r="W39" s="1509">
        <f t="shared" si="14"/>
        <v>100</v>
      </c>
      <c r="X39" s="1502"/>
      <c r="Y39" s="350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0"/>
      <c r="Q40" s="1507" t="str">
        <f t="shared" si="11"/>
        <v>单套建筑面积</v>
      </c>
      <c r="R40" s="1508" t="s">
        <v>8</v>
      </c>
      <c r="S40" s="1509">
        <f t="shared" si="12"/>
        <v>100</v>
      </c>
      <c r="T40" s="1508" t="s">
        <v>8</v>
      </c>
      <c r="U40" s="1509">
        <f t="shared" si="13"/>
        <v>100</v>
      </c>
      <c r="V40" s="1508" t="s">
        <v>8</v>
      </c>
      <c r="W40" s="1509">
        <f t="shared" si="14"/>
        <v>100</v>
      </c>
      <c r="X40" s="1502"/>
      <c r="Y40" s="350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0"/>
      <c r="Q41" s="1536" t="str">
        <f t="shared" si="11"/>
        <v>进深比</v>
      </c>
      <c r="R41" s="1512" t="s">
        <v>8</v>
      </c>
      <c r="S41" s="1513">
        <f t="shared" si="12"/>
        <v>100</v>
      </c>
      <c r="T41" s="1512" t="s">
        <v>8</v>
      </c>
      <c r="U41" s="1513">
        <f t="shared" si="13"/>
        <v>100</v>
      </c>
      <c r="V41" s="1512" t="s">
        <v>8</v>
      </c>
      <c r="W41" s="1513">
        <f t="shared" si="14"/>
        <v>100</v>
      </c>
      <c r="X41" s="1514"/>
      <c r="Y41" s="350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0"/>
      <c r="Q42" s="1507" t="str">
        <f t="shared" si="11"/>
        <v>内部装修</v>
      </c>
      <c r="R42" s="1508" t="s">
        <v>8</v>
      </c>
      <c r="S42" s="1509">
        <f t="shared" si="12"/>
        <v>100</v>
      </c>
      <c r="T42" s="1508" t="s">
        <v>8</v>
      </c>
      <c r="U42" s="1509">
        <f t="shared" si="13"/>
        <v>100</v>
      </c>
      <c r="V42" s="1508" t="s">
        <v>8</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0"/>
      <c r="Q43" s="1507" t="str">
        <f t="shared" si="11"/>
        <v>内部装修维护情况</v>
      </c>
      <c r="R43" s="1508" t="s">
        <v>8</v>
      </c>
      <c r="S43" s="1509">
        <f t="shared" si="12"/>
        <v>100</v>
      </c>
      <c r="T43" s="1508" t="s">
        <v>8</v>
      </c>
      <c r="U43" s="1509">
        <f t="shared" si="13"/>
        <v>100</v>
      </c>
      <c r="V43" s="1508" t="s">
        <v>8</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0"/>
      <c r="Q44" s="1134">
        <f t="shared" si="11"/>
        <v>111</v>
      </c>
      <c r="R44" s="1503" t="s">
        <v>8</v>
      </c>
      <c r="S44" s="1504">
        <f t="shared" si="12"/>
        <v>100</v>
      </c>
      <c r="T44" s="1503" t="s">
        <v>8</v>
      </c>
      <c r="U44" s="1504">
        <f t="shared" si="13"/>
        <v>100</v>
      </c>
      <c r="V44" s="1503" t="s">
        <v>8</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0"/>
      <c r="Q45" s="1507">
        <f t="shared" si="11"/>
        <v>111</v>
      </c>
      <c r="R45" s="1508" t="s">
        <v>8</v>
      </c>
      <c r="S45" s="1509">
        <f t="shared" si="12"/>
        <v>100</v>
      </c>
      <c r="T45" s="1508" t="s">
        <v>8</v>
      </c>
      <c r="U45" s="1509">
        <f t="shared" si="13"/>
        <v>100</v>
      </c>
      <c r="V45" s="1508" t="s">
        <v>8</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3" t="str">
        <f>A47</f>
        <v>成交单价（元/平方米）</v>
      </c>
      <c r="Q47" s="3463"/>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63" t="str">
        <f>A48</f>
        <v>比较价格（元/平方米）</v>
      </c>
      <c r="Q48" s="3463"/>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60" t="str">
        <f>A49</f>
        <v>估价对象XX用房的比较价格（楼面单价，元/平方米）</v>
      </c>
      <c r="Q49" s="3461"/>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69" t="s">
        <v>516</v>
      </c>
      <c r="D4" s="3470"/>
      <c r="E4" s="3503" t="s">
        <v>517</v>
      </c>
      <c r="F4" s="3504"/>
      <c r="G4" s="3469" t="s">
        <v>518</v>
      </c>
      <c r="H4" s="3470"/>
      <c r="I4" s="3469" t="s">
        <v>519</v>
      </c>
      <c r="J4" s="3470"/>
      <c r="K4" s="508" t="s">
        <v>520</v>
      </c>
      <c r="L4" s="2016"/>
      <c r="M4" s="2017"/>
      <c r="N4" s="2017"/>
      <c r="O4" s="2017"/>
      <c r="P4" s="3584" t="s">
        <v>521</v>
      </c>
      <c r="Q4" s="3472"/>
      <c r="R4" s="3477" t="s">
        <v>517</v>
      </c>
      <c r="S4" s="3478"/>
      <c r="T4" s="3477" t="s">
        <v>518</v>
      </c>
      <c r="U4" s="3478"/>
      <c r="V4" s="3464" t="s">
        <v>519</v>
      </c>
      <c r="W4" s="3464"/>
      <c r="X4" s="1502"/>
      <c r="Y4" s="3477" t="s">
        <v>521</v>
      </c>
      <c r="Z4" s="3478"/>
      <c r="AA4" s="3466" t="s">
        <v>517</v>
      </c>
      <c r="AB4" s="3466"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585"/>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586"/>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6"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6" t="s">
        <v>527</v>
      </c>
      <c r="Q8" s="3495"/>
      <c r="R8" s="1503" t="s">
        <v>8</v>
      </c>
      <c r="S8" s="1504">
        <f t="shared" si="0"/>
        <v>0</v>
      </c>
      <c r="T8" s="1503" t="s">
        <v>8</v>
      </c>
      <c r="U8" s="1504">
        <f t="shared" si="1"/>
        <v>0</v>
      </c>
      <c r="V8" s="1503" t="s">
        <v>8</v>
      </c>
      <c r="W8" s="1504">
        <f t="shared" si="2"/>
        <v>0</v>
      </c>
      <c r="X8" s="1505"/>
      <c r="Y8" s="3494" t="s">
        <v>527</v>
      </c>
      <c r="Z8" s="3495"/>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7" t="s">
        <v>534</v>
      </c>
      <c r="Q15" s="1507" t="str">
        <f t="shared" si="6"/>
        <v>办公集聚程度</v>
      </c>
      <c r="R15" s="1508" t="s">
        <v>8</v>
      </c>
      <c r="S15" s="1509">
        <f t="shared" si="0"/>
        <v>100</v>
      </c>
      <c r="T15" s="1508" t="s">
        <v>8</v>
      </c>
      <c r="U15" s="1509">
        <f t="shared" si="1"/>
        <v>100</v>
      </c>
      <c r="V15" s="1508" t="s">
        <v>8</v>
      </c>
      <c r="W15" s="1509">
        <f t="shared" si="2"/>
        <v>100</v>
      </c>
      <c r="X15" s="1502"/>
      <c r="Y15" s="349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8"/>
      <c r="Q16" s="1507"/>
      <c r="R16" s="1508"/>
      <c r="S16" s="1509"/>
      <c r="T16" s="1508"/>
      <c r="U16" s="1509"/>
      <c r="V16" s="1508"/>
      <c r="W16" s="1509"/>
      <c r="X16" s="1502"/>
      <c r="Y16" s="3498"/>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8"/>
      <c r="Q18" s="1507"/>
      <c r="R18" s="1508"/>
      <c r="S18" s="1509"/>
      <c r="T18" s="1508"/>
      <c r="U18" s="1509"/>
      <c r="V18" s="1508"/>
      <c r="W18" s="1509"/>
      <c r="X18" s="1502"/>
      <c r="Y18" s="3498"/>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8"/>
      <c r="Q20" s="1507"/>
      <c r="R20" s="1508"/>
      <c r="S20" s="1509"/>
      <c r="T20" s="1508"/>
      <c r="U20" s="1509"/>
      <c r="V20" s="1508"/>
      <c r="W20" s="1509"/>
      <c r="X20" s="1502"/>
      <c r="Y20" s="3498"/>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8"/>
      <c r="Q22" s="2430"/>
      <c r="R22" s="1508"/>
      <c r="S22" s="1509"/>
      <c r="T22" s="1508"/>
      <c r="U22" s="1509"/>
      <c r="V22" s="1508"/>
      <c r="W22" s="1509"/>
      <c r="X22" s="2432"/>
      <c r="Y22" s="3498"/>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8"/>
      <c r="Q24" s="1507"/>
      <c r="R24" s="1508"/>
      <c r="S24" s="1509"/>
      <c r="T24" s="1508"/>
      <c r="U24" s="1509"/>
      <c r="V24" s="1508"/>
      <c r="W24" s="1509"/>
      <c r="X24" s="1502"/>
      <c r="Y24" s="349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8"/>
      <c r="Q25" s="1507" t="str">
        <f>B25</f>
        <v>毗邻道路的类型与等级</v>
      </c>
      <c r="R25" s="1508" t="s">
        <v>8</v>
      </c>
      <c r="S25" s="1509">
        <f>F25</f>
        <v>100</v>
      </c>
      <c r="T25" s="1508" t="s">
        <v>8</v>
      </c>
      <c r="U25" s="1509">
        <f>H25</f>
        <v>100</v>
      </c>
      <c r="V25" s="1508" t="s">
        <v>8</v>
      </c>
      <c r="W25" s="1509">
        <f>J25</f>
        <v>100</v>
      </c>
      <c r="X25" s="1502"/>
      <c r="Y25" s="349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8"/>
      <c r="Q26" s="1507"/>
      <c r="R26" s="1508"/>
      <c r="S26" s="1509"/>
      <c r="T26" s="1508"/>
      <c r="U26" s="1509"/>
      <c r="V26" s="1508"/>
      <c r="W26" s="1509"/>
      <c r="X26" s="1502"/>
      <c r="Y26" s="349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8"/>
      <c r="Q27" s="1507" t="str">
        <f t="shared" ref="Q27:Q47" si="11">B27</f>
        <v>楼层</v>
      </c>
      <c r="R27" s="1508" t="s">
        <v>8</v>
      </c>
      <c r="S27" s="1509">
        <f>F27</f>
        <v>100</v>
      </c>
      <c r="T27" s="1508" t="s">
        <v>8</v>
      </c>
      <c r="U27" s="1509">
        <f>H27</f>
        <v>100</v>
      </c>
      <c r="V27" s="1508" t="s">
        <v>8</v>
      </c>
      <c r="W27" s="1509">
        <f>J27</f>
        <v>100</v>
      </c>
      <c r="X27" s="1502"/>
      <c r="Y27" s="349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8"/>
      <c r="Q28" s="1134" t="str">
        <f t="shared" si="11"/>
        <v>朝向</v>
      </c>
      <c r="R28" s="1503" t="s">
        <v>8</v>
      </c>
      <c r="S28" s="1504">
        <f>F28</f>
        <v>100</v>
      </c>
      <c r="T28" s="1503" t="s">
        <v>8</v>
      </c>
      <c r="U28" s="1504">
        <f>H28</f>
        <v>100</v>
      </c>
      <c r="V28" s="1503" t="s">
        <v>8</v>
      </c>
      <c r="W28" s="1504">
        <f>J28</f>
        <v>100</v>
      </c>
      <c r="X28" s="1505"/>
      <c r="Y28" s="349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8"/>
      <c r="Q29" s="1507">
        <f t="shared" si="11"/>
        <v>111</v>
      </c>
      <c r="R29" s="1508" t="s">
        <v>8</v>
      </c>
      <c r="S29" s="1509">
        <f t="shared" ref="S29:S47" si="12">F29</f>
        <v>100</v>
      </c>
      <c r="T29" s="1508" t="s">
        <v>8</v>
      </c>
      <c r="U29" s="1509">
        <f t="shared" ref="U29:U47" si="13">H29</f>
        <v>100</v>
      </c>
      <c r="V29" s="1508" t="s">
        <v>8</v>
      </c>
      <c r="W29" s="1509">
        <f t="shared" ref="W29:W47" si="14">J29</f>
        <v>100</v>
      </c>
      <c r="X29" s="1502"/>
      <c r="Y29" s="349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8"/>
      <c r="Q32" s="1507">
        <f t="shared" si="11"/>
        <v>111</v>
      </c>
      <c r="R32" s="1508" t="s">
        <v>8</v>
      </c>
      <c r="S32" s="1509">
        <f t="shared" si="12"/>
        <v>100</v>
      </c>
      <c r="T32" s="1508" t="s">
        <v>8</v>
      </c>
      <c r="U32" s="1509">
        <f t="shared" si="13"/>
        <v>100</v>
      </c>
      <c r="V32" s="1508" t="s">
        <v>8</v>
      </c>
      <c r="W32" s="1509">
        <f t="shared" si="14"/>
        <v>100</v>
      </c>
      <c r="X32" s="1502"/>
      <c r="Y32" s="349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9" t="s">
        <v>544</v>
      </c>
      <c r="Q33" s="1507" t="str">
        <f t="shared" si="11"/>
        <v>建筑类型</v>
      </c>
      <c r="R33" s="1508" t="s">
        <v>8</v>
      </c>
      <c r="S33" s="1509">
        <f t="shared" si="12"/>
        <v>100</v>
      </c>
      <c r="T33" s="1508" t="s">
        <v>8</v>
      </c>
      <c r="U33" s="1509">
        <f t="shared" si="13"/>
        <v>100</v>
      </c>
      <c r="V33" s="1508" t="s">
        <v>8</v>
      </c>
      <c r="W33" s="1509">
        <f t="shared" si="14"/>
        <v>100</v>
      </c>
      <c r="X33" s="1502"/>
      <c r="Y33" s="350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0"/>
      <c r="Q34" s="1536" t="str">
        <f t="shared" si="11"/>
        <v>项目建筑规模</v>
      </c>
      <c r="R34" s="1512" t="s">
        <v>8</v>
      </c>
      <c r="S34" s="1513" t="e">
        <f t="shared" si="12"/>
        <v>#N/A</v>
      </c>
      <c r="T34" s="1512" t="s">
        <v>8</v>
      </c>
      <c r="U34" s="1513" t="e">
        <f t="shared" si="13"/>
        <v>#N/A</v>
      </c>
      <c r="V34" s="1512" t="s">
        <v>8</v>
      </c>
      <c r="W34" s="1513" t="e">
        <f t="shared" si="14"/>
        <v>#N/A</v>
      </c>
      <c r="X34" s="1514"/>
      <c r="Y34" s="350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0"/>
      <c r="Q35" s="1507" t="str">
        <f t="shared" si="11"/>
        <v>建筑结构</v>
      </c>
      <c r="R35" s="1508" t="s">
        <v>8</v>
      </c>
      <c r="S35" s="1509">
        <f t="shared" si="12"/>
        <v>100</v>
      </c>
      <c r="T35" s="1508" t="s">
        <v>8</v>
      </c>
      <c r="U35" s="1509">
        <f t="shared" si="13"/>
        <v>100</v>
      </c>
      <c r="V35" s="1508" t="s">
        <v>8</v>
      </c>
      <c r="W35" s="1509">
        <f t="shared" si="14"/>
        <v>100</v>
      </c>
      <c r="X35" s="1502"/>
      <c r="Y35" s="350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0"/>
      <c r="Q36" s="1507" t="str">
        <f t="shared" si="11"/>
        <v>公共部分装修</v>
      </c>
      <c r="R36" s="1508" t="s">
        <v>8</v>
      </c>
      <c r="S36" s="1509">
        <f t="shared" si="12"/>
        <v>100</v>
      </c>
      <c r="T36" s="1508" t="s">
        <v>8</v>
      </c>
      <c r="U36" s="1509">
        <f t="shared" si="13"/>
        <v>100</v>
      </c>
      <c r="V36" s="1508" t="s">
        <v>8</v>
      </c>
      <c r="W36" s="1509">
        <f t="shared" si="14"/>
        <v>100</v>
      </c>
      <c r="X36" s="1502"/>
      <c r="Y36" s="350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0"/>
      <c r="Q37" s="1507" t="str">
        <f t="shared" si="11"/>
        <v>成新度</v>
      </c>
      <c r="R37" s="1508" t="s">
        <v>8</v>
      </c>
      <c r="S37" s="1509" t="e">
        <f t="shared" si="12"/>
        <v>#N/A</v>
      </c>
      <c r="T37" s="1508" t="s">
        <v>8</v>
      </c>
      <c r="U37" s="1509" t="e">
        <f t="shared" si="13"/>
        <v>#N/A</v>
      </c>
      <c r="V37" s="1508" t="s">
        <v>8</v>
      </c>
      <c r="W37" s="1509" t="e">
        <f t="shared" si="14"/>
        <v>#N/A</v>
      </c>
      <c r="X37" s="1502"/>
      <c r="Y37" s="350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0"/>
      <c r="Q38" s="1134" t="str">
        <f t="shared" si="11"/>
        <v>写字楼等级</v>
      </c>
      <c r="R38" s="1503" t="s">
        <v>8</v>
      </c>
      <c r="S38" s="1504">
        <f t="shared" si="12"/>
        <v>100</v>
      </c>
      <c r="T38" s="1503" t="s">
        <v>8</v>
      </c>
      <c r="U38" s="1504">
        <f t="shared" si="13"/>
        <v>100</v>
      </c>
      <c r="V38" s="1503" t="s">
        <v>8</v>
      </c>
      <c r="W38" s="1504">
        <f t="shared" si="14"/>
        <v>100</v>
      </c>
      <c r="X38" s="1505"/>
      <c r="Y38" s="350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0" t="s">
        <v>544</v>
      </c>
      <c r="Q39" s="1507" t="str">
        <f t="shared" si="11"/>
        <v>物业管理</v>
      </c>
      <c r="R39" s="1508" t="s">
        <v>8</v>
      </c>
      <c r="S39" s="1509">
        <f t="shared" si="12"/>
        <v>100</v>
      </c>
      <c r="T39" s="1508" t="s">
        <v>8</v>
      </c>
      <c r="U39" s="1509">
        <f t="shared" si="13"/>
        <v>100</v>
      </c>
      <c r="V39" s="1508" t="s">
        <v>8</v>
      </c>
      <c r="W39" s="1509">
        <f t="shared" si="14"/>
        <v>100</v>
      </c>
      <c r="X39" s="1502"/>
      <c r="Y39" s="350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0"/>
      <c r="Q40" s="1507" t="str">
        <f t="shared" si="11"/>
        <v>市政基础设施</v>
      </c>
      <c r="R40" s="1508" t="s">
        <v>8</v>
      </c>
      <c r="S40" s="1509">
        <f t="shared" si="12"/>
        <v>100</v>
      </c>
      <c r="T40" s="1508" t="s">
        <v>8</v>
      </c>
      <c r="U40" s="1509">
        <f t="shared" si="13"/>
        <v>100</v>
      </c>
      <c r="V40" s="1508" t="s">
        <v>8</v>
      </c>
      <c r="W40" s="1509">
        <f t="shared" si="14"/>
        <v>100</v>
      </c>
      <c r="X40" s="1502"/>
      <c r="Y40" s="350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0"/>
      <c r="Q41" s="1507" t="str">
        <f t="shared" si="11"/>
        <v>层高</v>
      </c>
      <c r="R41" s="1508" t="s">
        <v>8</v>
      </c>
      <c r="S41" s="1509">
        <f t="shared" si="12"/>
        <v>100</v>
      </c>
      <c r="T41" s="1508" t="s">
        <v>8</v>
      </c>
      <c r="U41" s="1509">
        <f t="shared" si="13"/>
        <v>100</v>
      </c>
      <c r="V41" s="1508" t="s">
        <v>8</v>
      </c>
      <c r="W41" s="1509">
        <f t="shared" si="14"/>
        <v>100</v>
      </c>
      <c r="X41" s="1502"/>
      <c r="Y41" s="350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0"/>
      <c r="Q42" s="1536" t="str">
        <f t="shared" si="11"/>
        <v>单套建筑面积</v>
      </c>
      <c r="R42" s="1512" t="s">
        <v>8</v>
      </c>
      <c r="S42" s="1513">
        <f t="shared" si="12"/>
        <v>100</v>
      </c>
      <c r="T42" s="1512" t="s">
        <v>8</v>
      </c>
      <c r="U42" s="1513">
        <f t="shared" si="13"/>
        <v>100</v>
      </c>
      <c r="V42" s="1512" t="s">
        <v>8</v>
      </c>
      <c r="W42" s="1513">
        <f t="shared" si="14"/>
        <v>100</v>
      </c>
      <c r="X42" s="1514"/>
      <c r="Y42" s="350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0"/>
      <c r="Q43" s="1507" t="str">
        <f t="shared" si="11"/>
        <v>内部装修</v>
      </c>
      <c r="R43" s="1508" t="s">
        <v>8</v>
      </c>
      <c r="S43" s="1509">
        <f t="shared" si="12"/>
        <v>100</v>
      </c>
      <c r="T43" s="1508" t="s">
        <v>8</v>
      </c>
      <c r="U43" s="1509">
        <f t="shared" si="13"/>
        <v>100</v>
      </c>
      <c r="V43" s="1508" t="s">
        <v>8</v>
      </c>
      <c r="W43" s="1509">
        <f t="shared" si="14"/>
        <v>100</v>
      </c>
      <c r="X43" s="1502"/>
      <c r="Y43" s="350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0"/>
      <c r="Q44" s="1507" t="str">
        <f t="shared" si="11"/>
        <v>内部装修维护情况</v>
      </c>
      <c r="R44" s="1508" t="s">
        <v>8</v>
      </c>
      <c r="S44" s="1509">
        <f t="shared" si="12"/>
        <v>100</v>
      </c>
      <c r="T44" s="1508" t="s">
        <v>8</v>
      </c>
      <c r="U44" s="1509">
        <f t="shared" si="13"/>
        <v>100</v>
      </c>
      <c r="V44" s="1508" t="s">
        <v>8</v>
      </c>
      <c r="W44" s="1509">
        <f t="shared" si="14"/>
        <v>100</v>
      </c>
      <c r="X44" s="1502"/>
      <c r="Y44" s="350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0"/>
      <c r="Q45" s="1134">
        <f t="shared" si="11"/>
        <v>111</v>
      </c>
      <c r="R45" s="1503" t="s">
        <v>8</v>
      </c>
      <c r="S45" s="1504">
        <f t="shared" si="12"/>
        <v>100</v>
      </c>
      <c r="T45" s="1503" t="s">
        <v>8</v>
      </c>
      <c r="U45" s="1504">
        <f t="shared" si="13"/>
        <v>100</v>
      </c>
      <c r="V45" s="1503" t="s">
        <v>8</v>
      </c>
      <c r="W45" s="1504">
        <f t="shared" si="14"/>
        <v>100</v>
      </c>
      <c r="X45" s="1505"/>
      <c r="Y45" s="350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0"/>
      <c r="Q46" s="1507">
        <f t="shared" si="11"/>
        <v>111</v>
      </c>
      <c r="R46" s="1508" t="s">
        <v>8</v>
      </c>
      <c r="S46" s="1509">
        <f t="shared" si="12"/>
        <v>100</v>
      </c>
      <c r="T46" s="1508" t="s">
        <v>8</v>
      </c>
      <c r="U46" s="1509">
        <f t="shared" si="13"/>
        <v>100</v>
      </c>
      <c r="V46" s="1508" t="s">
        <v>8</v>
      </c>
      <c r="W46" s="1509">
        <f t="shared" si="14"/>
        <v>100</v>
      </c>
      <c r="X46" s="1502"/>
      <c r="Y46" s="350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1" t="str">
        <f>A48</f>
        <v>成交单价（元/平方米）</v>
      </c>
      <c r="Q48" s="3463"/>
      <c r="R48" s="3581">
        <f>E48</f>
        <v>0</v>
      </c>
      <c r="S48" s="3581"/>
      <c r="T48" s="3581">
        <f>G48</f>
        <v>0</v>
      </c>
      <c r="U48" s="3581"/>
      <c r="V48" s="3581">
        <f>I48</f>
        <v>0</v>
      </c>
      <c r="W48" s="3581"/>
      <c r="X48" s="1497"/>
      <c r="Y48" s="1516"/>
      <c r="Z48" s="1497"/>
      <c r="AA48" s="1497"/>
      <c r="AB48" s="1497"/>
      <c r="AC48" s="1497"/>
    </row>
    <row r="49" spans="1:29" ht="15.7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61" t="str">
        <f>A49</f>
        <v>比较价格（元/平方米）</v>
      </c>
      <c r="Q49" s="3463"/>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83" t="str">
        <f>A50</f>
        <v>估价对象XX用房的比较价格（楼面单价，元/平方米）</v>
      </c>
      <c r="Q50" s="3461"/>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2019-8</v>
      </c>
      <c r="D59" s="2522">
        <f>EDATE(C59,-1)</f>
        <v>43647</v>
      </c>
      <c r="E59" s="2522">
        <f t="shared" ref="E59:O59" si="16">EDATE(D59,-1)</f>
        <v>43617</v>
      </c>
      <c r="F59" s="2522">
        <f t="shared" si="16"/>
        <v>43586</v>
      </c>
      <c r="G59" s="2522">
        <f t="shared" si="16"/>
        <v>43556</v>
      </c>
      <c r="H59" s="2522">
        <f t="shared" si="16"/>
        <v>43525</v>
      </c>
      <c r="I59" s="2522">
        <f t="shared" si="16"/>
        <v>43497</v>
      </c>
      <c r="J59" s="2522">
        <f t="shared" si="16"/>
        <v>43466</v>
      </c>
      <c r="K59" s="2522">
        <f t="shared" si="16"/>
        <v>43435</v>
      </c>
      <c r="L59" s="2522">
        <f t="shared" si="16"/>
        <v>43405</v>
      </c>
      <c r="M59" s="2522">
        <f t="shared" si="16"/>
        <v>43374</v>
      </c>
      <c r="N59" s="2522">
        <f t="shared" si="16"/>
        <v>43344</v>
      </c>
      <c r="O59" s="2522">
        <f t="shared" si="16"/>
        <v>43313</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69" t="s">
        <v>516</v>
      </c>
      <c r="D4" s="3470"/>
      <c r="E4" s="3503" t="s">
        <v>517</v>
      </c>
      <c r="F4" s="3504"/>
      <c r="G4" s="3469" t="s">
        <v>518</v>
      </c>
      <c r="H4" s="3470"/>
      <c r="I4" s="3469" t="s">
        <v>519</v>
      </c>
      <c r="J4" s="3470"/>
      <c r="K4" s="508"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7"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4"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7" t="s">
        <v>534</v>
      </c>
      <c r="Q15" s="1507" t="str">
        <f t="shared" si="6"/>
        <v>产业集聚程度</v>
      </c>
      <c r="R15" s="1508" t="s">
        <v>8</v>
      </c>
      <c r="S15" s="1509">
        <f t="shared" si="0"/>
        <v>100</v>
      </c>
      <c r="T15" s="1508" t="s">
        <v>8</v>
      </c>
      <c r="U15" s="1509">
        <f t="shared" si="1"/>
        <v>100</v>
      </c>
      <c r="V15" s="1508" t="s">
        <v>8</v>
      </c>
      <c r="W15" s="1509">
        <f t="shared" si="2"/>
        <v>100</v>
      </c>
      <c r="X15" s="1502"/>
      <c r="Y15" s="349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8"/>
      <c r="Q25" s="1507">
        <f>B25</f>
        <v>111</v>
      </c>
      <c r="R25" s="1508" t="s">
        <v>8</v>
      </c>
      <c r="S25" s="1509">
        <f>F25</f>
        <v>100</v>
      </c>
      <c r="T25" s="1508" t="s">
        <v>8</v>
      </c>
      <c r="U25" s="1509">
        <f>H25</f>
        <v>100</v>
      </c>
      <c r="V25" s="1508" t="s">
        <v>8</v>
      </c>
      <c r="W25" s="1509">
        <f>J25</f>
        <v>100</v>
      </c>
      <c r="X25" s="1502"/>
      <c r="Y25" s="349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8"/>
      <c r="Q26" s="1507">
        <f t="shared" ref="Q26:Q40" si="11">B26</f>
        <v>111</v>
      </c>
      <c r="R26" s="1508" t="s">
        <v>8</v>
      </c>
      <c r="S26" s="1509">
        <f>F26</f>
        <v>100</v>
      </c>
      <c r="T26" s="1508" t="s">
        <v>8</v>
      </c>
      <c r="U26" s="1509">
        <f>H26</f>
        <v>100</v>
      </c>
      <c r="V26" s="1508" t="s">
        <v>8</v>
      </c>
      <c r="W26" s="1509">
        <f>J26</f>
        <v>100</v>
      </c>
      <c r="X26" s="1502"/>
      <c r="Y26" s="349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8"/>
      <c r="Q27" s="1134">
        <f t="shared" si="11"/>
        <v>111</v>
      </c>
      <c r="R27" s="1503" t="s">
        <v>8</v>
      </c>
      <c r="S27" s="1504">
        <f>F27</f>
        <v>100</v>
      </c>
      <c r="T27" s="1503" t="s">
        <v>8</v>
      </c>
      <c r="U27" s="1504">
        <f>H27</f>
        <v>100</v>
      </c>
      <c r="V27" s="1503" t="s">
        <v>8</v>
      </c>
      <c r="W27" s="1504">
        <f>J27</f>
        <v>100</v>
      </c>
      <c r="X27" s="1505"/>
      <c r="Y27" s="349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8"/>
      <c r="Q28" s="1507">
        <f t="shared" si="11"/>
        <v>111</v>
      </c>
      <c r="R28" s="1508" t="s">
        <v>8</v>
      </c>
      <c r="S28" s="1509">
        <f t="shared" ref="S28:S40" si="12">F28</f>
        <v>100</v>
      </c>
      <c r="T28" s="1508" t="s">
        <v>8</v>
      </c>
      <c r="U28" s="1509">
        <f t="shared" ref="U28:U40" si="13">H28</f>
        <v>100</v>
      </c>
      <c r="V28" s="1508" t="s">
        <v>8</v>
      </c>
      <c r="W28" s="1509">
        <f t="shared" ref="W28:W40" si="14">J28</f>
        <v>100</v>
      </c>
      <c r="X28" s="1502"/>
      <c r="Y28" s="349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9" t="s">
        <v>544</v>
      </c>
      <c r="Q29" s="1507" t="str">
        <f t="shared" si="11"/>
        <v>建筑类型</v>
      </c>
      <c r="R29" s="1508" t="s">
        <v>8</v>
      </c>
      <c r="S29" s="1509">
        <f t="shared" si="12"/>
        <v>100</v>
      </c>
      <c r="T29" s="1508" t="s">
        <v>8</v>
      </c>
      <c r="U29" s="1509">
        <f t="shared" si="13"/>
        <v>100</v>
      </c>
      <c r="V29" s="1508" t="s">
        <v>8</v>
      </c>
      <c r="W29" s="1509">
        <f t="shared" si="14"/>
        <v>100</v>
      </c>
      <c r="X29" s="1502"/>
      <c r="Y29" s="350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0"/>
      <c r="Q30" s="1536" t="str">
        <f t="shared" si="11"/>
        <v>项目建筑规模</v>
      </c>
      <c r="R30" s="1512" t="s">
        <v>8</v>
      </c>
      <c r="S30" s="1513" t="e">
        <f t="shared" si="12"/>
        <v>#N/A</v>
      </c>
      <c r="T30" s="1512" t="s">
        <v>8</v>
      </c>
      <c r="U30" s="1513" t="e">
        <f t="shared" si="13"/>
        <v>#N/A</v>
      </c>
      <c r="V30" s="1512" t="s">
        <v>8</v>
      </c>
      <c r="W30" s="1513" t="e">
        <f t="shared" si="14"/>
        <v>#N/A</v>
      </c>
      <c r="X30" s="1514"/>
      <c r="Y30" s="350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0"/>
      <c r="Q31" s="1507" t="str">
        <f t="shared" si="11"/>
        <v>建筑结构</v>
      </c>
      <c r="R31" s="1508" t="s">
        <v>8</v>
      </c>
      <c r="S31" s="1509">
        <f t="shared" si="12"/>
        <v>100</v>
      </c>
      <c r="T31" s="1508" t="s">
        <v>8</v>
      </c>
      <c r="U31" s="1509">
        <f t="shared" si="13"/>
        <v>100</v>
      </c>
      <c r="V31" s="1508" t="s">
        <v>8</v>
      </c>
      <c r="W31" s="1509">
        <f t="shared" si="14"/>
        <v>100</v>
      </c>
      <c r="X31" s="1502"/>
      <c r="Y31" s="350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0"/>
      <c r="Q32" s="1507" t="str">
        <f t="shared" si="11"/>
        <v>公共部分装修</v>
      </c>
      <c r="R32" s="1508" t="s">
        <v>8</v>
      </c>
      <c r="S32" s="1509">
        <f t="shared" si="12"/>
        <v>100</v>
      </c>
      <c r="T32" s="1508" t="s">
        <v>8</v>
      </c>
      <c r="U32" s="1509">
        <f t="shared" si="13"/>
        <v>100</v>
      </c>
      <c r="V32" s="1508" t="s">
        <v>8</v>
      </c>
      <c r="W32" s="1509">
        <f t="shared" si="14"/>
        <v>100</v>
      </c>
      <c r="X32" s="1502"/>
      <c r="Y32" s="350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0"/>
      <c r="Q33" s="1507" t="str">
        <f t="shared" si="11"/>
        <v>成新度</v>
      </c>
      <c r="R33" s="1508" t="s">
        <v>8</v>
      </c>
      <c r="S33" s="1509" t="e">
        <f t="shared" si="12"/>
        <v>#N/A</v>
      </c>
      <c r="T33" s="1508" t="s">
        <v>8</v>
      </c>
      <c r="U33" s="1509" t="e">
        <f t="shared" si="13"/>
        <v>#N/A</v>
      </c>
      <c r="V33" s="1508" t="s">
        <v>8</v>
      </c>
      <c r="W33" s="1509" t="e">
        <f t="shared" si="14"/>
        <v>#N/A</v>
      </c>
      <c r="X33" s="1502"/>
      <c r="Y33" s="350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0"/>
      <c r="Q34" s="1134" t="str">
        <f t="shared" si="11"/>
        <v>物业管理</v>
      </c>
      <c r="R34" s="1503" t="s">
        <v>8</v>
      </c>
      <c r="S34" s="1504">
        <f t="shared" si="12"/>
        <v>100</v>
      </c>
      <c r="T34" s="1503" t="s">
        <v>8</v>
      </c>
      <c r="U34" s="1504">
        <f t="shared" si="13"/>
        <v>100</v>
      </c>
      <c r="V34" s="1503" t="s">
        <v>8</v>
      </c>
      <c r="W34" s="1504">
        <f t="shared" si="14"/>
        <v>100</v>
      </c>
      <c r="X34" s="1505"/>
      <c r="Y34" s="350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0" t="s">
        <v>544</v>
      </c>
      <c r="Q35" s="1507" t="str">
        <f t="shared" si="11"/>
        <v>市政基础设施</v>
      </c>
      <c r="R35" s="1508" t="s">
        <v>8</v>
      </c>
      <c r="S35" s="1509">
        <f t="shared" si="12"/>
        <v>100</v>
      </c>
      <c r="T35" s="1508" t="s">
        <v>8</v>
      </c>
      <c r="U35" s="1509">
        <f t="shared" si="13"/>
        <v>100</v>
      </c>
      <c r="V35" s="1508" t="s">
        <v>8</v>
      </c>
      <c r="W35" s="1509">
        <f t="shared" si="14"/>
        <v>100</v>
      </c>
      <c r="X35" s="1502"/>
      <c r="Y35" s="350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0"/>
      <c r="Q36" s="1507" t="str">
        <f t="shared" si="11"/>
        <v>内部装修</v>
      </c>
      <c r="R36" s="1508" t="s">
        <v>8</v>
      </c>
      <c r="S36" s="1509">
        <f t="shared" si="12"/>
        <v>100</v>
      </c>
      <c r="T36" s="1508" t="s">
        <v>8</v>
      </c>
      <c r="U36" s="1509">
        <f t="shared" si="13"/>
        <v>100</v>
      </c>
      <c r="V36" s="1508" t="s">
        <v>8</v>
      </c>
      <c r="W36" s="1509">
        <f t="shared" si="14"/>
        <v>100</v>
      </c>
      <c r="X36" s="1502"/>
      <c r="Y36" s="350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0"/>
      <c r="Q37" s="1507" t="str">
        <f t="shared" si="11"/>
        <v>内部装修状况</v>
      </c>
      <c r="R37" s="1508" t="s">
        <v>8</v>
      </c>
      <c r="S37" s="1509">
        <f t="shared" si="12"/>
        <v>100</v>
      </c>
      <c r="T37" s="1508" t="s">
        <v>8</v>
      </c>
      <c r="U37" s="1509">
        <f t="shared" si="13"/>
        <v>100</v>
      </c>
      <c r="V37" s="1508" t="s">
        <v>8</v>
      </c>
      <c r="W37" s="1509">
        <f t="shared" si="14"/>
        <v>100</v>
      </c>
      <c r="X37" s="1502"/>
      <c r="Y37" s="350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0"/>
      <c r="Q38" s="1536">
        <f t="shared" si="11"/>
        <v>111</v>
      </c>
      <c r="R38" s="1512" t="s">
        <v>8</v>
      </c>
      <c r="S38" s="1513">
        <f t="shared" si="12"/>
        <v>100</v>
      </c>
      <c r="T38" s="1512" t="s">
        <v>8</v>
      </c>
      <c r="U38" s="1513">
        <f t="shared" si="13"/>
        <v>100</v>
      </c>
      <c r="V38" s="1512" t="s">
        <v>8</v>
      </c>
      <c r="W38" s="1513">
        <f t="shared" si="14"/>
        <v>100</v>
      </c>
      <c r="X38" s="1514"/>
      <c r="Y38" s="350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0"/>
      <c r="Q39" s="1507">
        <f t="shared" si="11"/>
        <v>111</v>
      </c>
      <c r="R39" s="1508" t="s">
        <v>8</v>
      </c>
      <c r="S39" s="1509">
        <f t="shared" si="12"/>
        <v>100</v>
      </c>
      <c r="T39" s="1508" t="s">
        <v>8</v>
      </c>
      <c r="U39" s="1509">
        <f t="shared" si="13"/>
        <v>100</v>
      </c>
      <c r="V39" s="1508" t="s">
        <v>8</v>
      </c>
      <c r="W39" s="1509">
        <f t="shared" si="14"/>
        <v>100</v>
      </c>
      <c r="X39" s="1502"/>
      <c r="Y39" s="350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3" t="str">
        <f>A41</f>
        <v>成交单价（元/平方米）</v>
      </c>
      <c r="Q41" s="3463"/>
      <c r="R41" s="3581">
        <f>E41</f>
        <v>0</v>
      </c>
      <c r="S41" s="3581"/>
      <c r="T41" s="3581">
        <f>G41</f>
        <v>0</v>
      </c>
      <c r="U41" s="3581"/>
      <c r="V41" s="3581">
        <f>I41</f>
        <v>0</v>
      </c>
      <c r="W41" s="3581"/>
      <c r="X41" s="1497"/>
      <c r="Y41" s="1516"/>
      <c r="Z41" s="1497"/>
      <c r="AA41" s="1497"/>
      <c r="AB41" s="1497"/>
      <c r="AC41" s="1497"/>
    </row>
    <row r="42" spans="1:29" ht="15.7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63" t="str">
        <f>A42</f>
        <v>比较价格（元/平方米）</v>
      </c>
      <c r="Q42" s="3463"/>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60" t="str">
        <f>A43</f>
        <v>估价对象XX用房的比较价格（楼面单价，元/平方米）</v>
      </c>
      <c r="Q43" s="3461"/>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2019-8</v>
      </c>
      <c r="D52" s="2522">
        <f>EDATE(C52,-1)</f>
        <v>43647</v>
      </c>
      <c r="E52" s="2522">
        <f t="shared" ref="E52:O52" si="16">EDATE(D52,-1)</f>
        <v>43617</v>
      </c>
      <c r="F52" s="2522">
        <f t="shared" si="16"/>
        <v>43586</v>
      </c>
      <c r="G52" s="2522">
        <f t="shared" si="16"/>
        <v>43556</v>
      </c>
      <c r="H52" s="2522">
        <f t="shared" si="16"/>
        <v>43525</v>
      </c>
      <c r="I52" s="2522">
        <f t="shared" si="16"/>
        <v>43497</v>
      </c>
      <c r="J52" s="2522">
        <f t="shared" si="16"/>
        <v>43466</v>
      </c>
      <c r="K52" s="2522">
        <f t="shared" si="16"/>
        <v>43435</v>
      </c>
      <c r="L52" s="2522">
        <f t="shared" si="16"/>
        <v>43405</v>
      </c>
      <c r="M52" s="2522">
        <f t="shared" si="16"/>
        <v>43374</v>
      </c>
      <c r="N52" s="2522">
        <f t="shared" si="16"/>
        <v>43344</v>
      </c>
      <c r="O52" s="2522">
        <f t="shared" si="16"/>
        <v>43313</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9" t="s">
        <v>792</v>
      </c>
      <c r="D4" s="3470"/>
      <c r="E4" s="3469" t="s">
        <v>793</v>
      </c>
      <c r="F4" s="3470"/>
      <c r="G4" s="3469" t="s">
        <v>794</v>
      </c>
      <c r="H4" s="3470"/>
      <c r="I4" s="3469" t="s">
        <v>795</v>
      </c>
      <c r="J4" s="3470"/>
      <c r="K4" s="508" t="s">
        <v>796</v>
      </c>
      <c r="L4" s="2016"/>
      <c r="M4" s="2017"/>
      <c r="N4" s="2017"/>
      <c r="O4" s="2017"/>
      <c r="P4" s="3471" t="s">
        <v>797</v>
      </c>
      <c r="Q4" s="3472"/>
      <c r="R4" s="3477" t="s">
        <v>793</v>
      </c>
      <c r="S4" s="3478"/>
      <c r="T4" s="3477" t="s">
        <v>794</v>
      </c>
      <c r="U4" s="3478"/>
      <c r="V4" s="3464" t="s">
        <v>795</v>
      </c>
      <c r="W4" s="3464"/>
      <c r="X4" s="1502"/>
      <c r="Y4" s="3477" t="s">
        <v>797</v>
      </c>
      <c r="Z4" s="3478"/>
      <c r="AA4" s="3466" t="s">
        <v>793</v>
      </c>
      <c r="AB4" s="3467" t="s">
        <v>794</v>
      </c>
      <c r="AC4" s="3466" t="s">
        <v>795</v>
      </c>
    </row>
    <row r="5" spans="1:29" ht="15">
      <c r="A5" s="509"/>
      <c r="B5" s="510"/>
      <c r="C5" s="3485" t="s">
        <v>2894</v>
      </c>
      <c r="D5" s="3486"/>
      <c r="E5" s="3485" t="s">
        <v>2895</v>
      </c>
      <c r="F5" s="348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487" t="s">
        <v>2898</v>
      </c>
      <c r="F6" s="3488"/>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4" t="s">
        <v>524</v>
      </c>
      <c r="Q7" s="3496"/>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3" t="s">
        <v>529</v>
      </c>
      <c r="Q9" s="1134" t="str">
        <f t="shared" ref="Q9:Q14" si="6">B9</f>
        <v>用途</v>
      </c>
      <c r="R9" s="1503" t="s">
        <v>8</v>
      </c>
      <c r="S9" s="1504">
        <f t="shared" si="0"/>
        <v>100</v>
      </c>
      <c r="T9" s="1503" t="s">
        <v>8</v>
      </c>
      <c r="U9" s="1504">
        <f t="shared" si="1"/>
        <v>100</v>
      </c>
      <c r="V9" s="1503" t="s">
        <v>8</v>
      </c>
      <c r="W9" s="1504">
        <f t="shared" si="2"/>
        <v>100</v>
      </c>
      <c r="X9" s="1505"/>
      <c r="Y9" s="340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3"/>
      <c r="Q11" s="1134">
        <f t="shared" si="6"/>
        <v>111</v>
      </c>
      <c r="R11" s="1503" t="s">
        <v>8</v>
      </c>
      <c r="S11" s="1504">
        <f t="shared" si="0"/>
        <v>100</v>
      </c>
      <c r="T11" s="1503" t="s">
        <v>8</v>
      </c>
      <c r="U11" s="1504">
        <f t="shared" si="1"/>
        <v>100</v>
      </c>
      <c r="V11" s="1503" t="s">
        <v>8</v>
      </c>
      <c r="W11" s="1504">
        <f t="shared" si="2"/>
        <v>100</v>
      </c>
      <c r="X11" s="1505"/>
      <c r="Y11" s="340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8"/>
      <c r="Q24" s="1507">
        <f t="shared" ref="Q24:Q36"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0"/>
      <c r="Q27" s="1536" t="str">
        <f t="shared" si="11"/>
        <v>项目停车位配比</v>
      </c>
      <c r="R27" s="1512" t="s">
        <v>8</v>
      </c>
      <c r="S27" s="1513">
        <f t="shared" si="12"/>
        <v>100</v>
      </c>
      <c r="T27" s="1512" t="s">
        <v>8</v>
      </c>
      <c r="U27" s="1513">
        <f t="shared" si="13"/>
        <v>100</v>
      </c>
      <c r="V27" s="1512" t="s">
        <v>8</v>
      </c>
      <c r="W27" s="1513">
        <f t="shared" si="14"/>
        <v>100</v>
      </c>
      <c r="X27" s="1514"/>
      <c r="Y27" s="350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0"/>
      <c r="Q28" s="1507" t="str">
        <f t="shared" si="11"/>
        <v>公共部分装修</v>
      </c>
      <c r="R28" s="1508" t="s">
        <v>8</v>
      </c>
      <c r="S28" s="1509">
        <f t="shared" si="12"/>
        <v>100</v>
      </c>
      <c r="T28" s="1508" t="s">
        <v>8</v>
      </c>
      <c r="U28" s="1509">
        <f t="shared" si="13"/>
        <v>100</v>
      </c>
      <c r="V28" s="1508" t="s">
        <v>8</v>
      </c>
      <c r="W28" s="1509">
        <f t="shared" si="14"/>
        <v>100</v>
      </c>
      <c r="X28" s="1502"/>
      <c r="Y28" s="350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0"/>
      <c r="Q29" s="1507" t="str">
        <f t="shared" si="11"/>
        <v>成新率</v>
      </c>
      <c r="R29" s="1508" t="s">
        <v>8</v>
      </c>
      <c r="S29" s="1509" t="e">
        <f t="shared" si="12"/>
        <v>#N/A</v>
      </c>
      <c r="T29" s="1508" t="s">
        <v>8</v>
      </c>
      <c r="U29" s="1509" t="e">
        <f t="shared" si="13"/>
        <v>#N/A</v>
      </c>
      <c r="V29" s="1508" t="s">
        <v>8</v>
      </c>
      <c r="W29" s="1509" t="e">
        <f t="shared" si="14"/>
        <v>#N/A</v>
      </c>
      <c r="X29" s="1502"/>
      <c r="Y29" s="350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0"/>
      <c r="Q30" s="1507" t="str">
        <f t="shared" si="11"/>
        <v>物业等级</v>
      </c>
      <c r="R30" s="1508" t="s">
        <v>8</v>
      </c>
      <c r="S30" s="1509">
        <f t="shared" si="12"/>
        <v>100</v>
      </c>
      <c r="T30" s="1508" t="s">
        <v>8</v>
      </c>
      <c r="U30" s="1509">
        <f t="shared" si="13"/>
        <v>100</v>
      </c>
      <c r="V30" s="1508" t="s">
        <v>8</v>
      </c>
      <c r="W30" s="1509">
        <f t="shared" si="14"/>
        <v>100</v>
      </c>
      <c r="X30" s="1502"/>
      <c r="Y30" s="350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0"/>
      <c r="Q31" s="1134" t="str">
        <f t="shared" si="11"/>
        <v>停车位面积</v>
      </c>
      <c r="R31" s="1503" t="s">
        <v>8</v>
      </c>
      <c r="S31" s="1504" t="e">
        <f t="shared" si="12"/>
        <v>#N/A</v>
      </c>
      <c r="T31" s="1503" t="s">
        <v>8</v>
      </c>
      <c r="U31" s="1504" t="e">
        <f t="shared" si="13"/>
        <v>#N/A</v>
      </c>
      <c r="V31" s="1503" t="s">
        <v>8</v>
      </c>
      <c r="W31" s="1504" t="e">
        <f t="shared" si="14"/>
        <v>#N/A</v>
      </c>
      <c r="X31" s="1505"/>
      <c r="Y31" s="350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0" t="s">
        <v>544</v>
      </c>
      <c r="Q32" s="1507" t="str">
        <f t="shared" si="11"/>
        <v>车位类型</v>
      </c>
      <c r="R32" s="1508" t="s">
        <v>8</v>
      </c>
      <c r="S32" s="1509">
        <f t="shared" si="12"/>
        <v>100</v>
      </c>
      <c r="T32" s="1508" t="s">
        <v>8</v>
      </c>
      <c r="U32" s="1509">
        <f t="shared" si="13"/>
        <v>100</v>
      </c>
      <c r="V32" s="1508" t="s">
        <v>8</v>
      </c>
      <c r="W32" s="1509">
        <f t="shared" si="14"/>
        <v>100</v>
      </c>
      <c r="X32" s="1502"/>
      <c r="Y32" s="350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0"/>
      <c r="Q33" s="1507" t="str">
        <f t="shared" si="11"/>
        <v>是否直接入户</v>
      </c>
      <c r="R33" s="1508" t="s">
        <v>8</v>
      </c>
      <c r="S33" s="1509">
        <f t="shared" si="12"/>
        <v>100</v>
      </c>
      <c r="T33" s="1508" t="s">
        <v>8</v>
      </c>
      <c r="U33" s="1509">
        <f t="shared" si="13"/>
        <v>100</v>
      </c>
      <c r="V33" s="1508" t="s">
        <v>8</v>
      </c>
      <c r="W33" s="1509">
        <f t="shared" si="14"/>
        <v>100</v>
      </c>
      <c r="X33" s="1502"/>
      <c r="Y33" s="350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0"/>
      <c r="Q35" s="1536">
        <f t="shared" si="11"/>
        <v>111</v>
      </c>
      <c r="R35" s="1512" t="s">
        <v>8</v>
      </c>
      <c r="S35" s="1513">
        <f t="shared" si="12"/>
        <v>100</v>
      </c>
      <c r="T35" s="1512" t="s">
        <v>8</v>
      </c>
      <c r="U35" s="1513">
        <f t="shared" si="13"/>
        <v>100</v>
      </c>
      <c r="V35" s="1512" t="s">
        <v>8</v>
      </c>
      <c r="W35" s="1513">
        <f t="shared" si="14"/>
        <v>100</v>
      </c>
      <c r="X35" s="1514"/>
      <c r="Y35" s="350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0"/>
      <c r="Q36" s="1507">
        <f t="shared" si="11"/>
        <v>111</v>
      </c>
      <c r="R36" s="1508" t="s">
        <v>8</v>
      </c>
      <c r="S36" s="1509">
        <f t="shared" si="12"/>
        <v>100</v>
      </c>
      <c r="T36" s="1508" t="s">
        <v>8</v>
      </c>
      <c r="U36" s="1509">
        <f t="shared" si="13"/>
        <v>100</v>
      </c>
      <c r="V36" s="1508" t="s">
        <v>8</v>
      </c>
      <c r="W36" s="1509">
        <f t="shared" si="14"/>
        <v>100</v>
      </c>
      <c r="X36" s="1502"/>
      <c r="Y36" s="3500"/>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3" t="str">
        <f>A37</f>
        <v>成交单价</v>
      </c>
      <c r="Q37" s="3463"/>
      <c r="R37" s="3581">
        <f>E37</f>
        <v>0</v>
      </c>
      <c r="S37" s="3581"/>
      <c r="T37" s="3581">
        <f>G37</f>
        <v>0</v>
      </c>
      <c r="U37" s="3581"/>
      <c r="V37" s="3581">
        <f>I37</f>
        <v>0</v>
      </c>
      <c r="W37" s="3581"/>
      <c r="X37" s="1497"/>
      <c r="Y37" s="1516"/>
      <c r="Z37" s="1497"/>
      <c r="AA37" s="1497"/>
      <c r="AB37" s="1497"/>
      <c r="AC37" s="1497"/>
    </row>
    <row r="38" spans="1:29" ht="15.7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63" t="str">
        <f>A38</f>
        <v>比较价格（元/平方米）</v>
      </c>
      <c r="Q38" s="3463"/>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60" t="str">
        <f>A39</f>
        <v>估价对象XX用房的比较价格（楼面单价，元/平方米）</v>
      </c>
      <c r="Q39" s="3461"/>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2019-8</v>
      </c>
      <c r="D48" s="2522">
        <f>EDATE(C48,-1)</f>
        <v>43647</v>
      </c>
      <c r="E48" s="2522">
        <f t="shared" ref="E48:O48" si="16">EDATE(D48,-1)</f>
        <v>43617</v>
      </c>
      <c r="F48" s="2522">
        <f t="shared" si="16"/>
        <v>43586</v>
      </c>
      <c r="G48" s="2522">
        <f t="shared" si="16"/>
        <v>43556</v>
      </c>
      <c r="H48" s="2522">
        <f t="shared" si="16"/>
        <v>43525</v>
      </c>
      <c r="I48" s="2522">
        <f t="shared" si="16"/>
        <v>43497</v>
      </c>
      <c r="J48" s="2522">
        <f t="shared" si="16"/>
        <v>43466</v>
      </c>
      <c r="K48" s="2522">
        <f t="shared" si="16"/>
        <v>43435</v>
      </c>
      <c r="L48" s="2522">
        <f t="shared" si="16"/>
        <v>43405</v>
      </c>
      <c r="M48" s="2522">
        <f t="shared" si="16"/>
        <v>43374</v>
      </c>
      <c r="N48" s="2522">
        <f t="shared" si="16"/>
        <v>43344</v>
      </c>
      <c r="O48" s="2522">
        <f t="shared" si="16"/>
        <v>43313</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9" t="s">
        <v>792</v>
      </c>
      <c r="D4" s="3470"/>
      <c r="E4" s="3503" t="s">
        <v>793</v>
      </c>
      <c r="F4" s="3504"/>
      <c r="G4" s="3469" t="s">
        <v>794</v>
      </c>
      <c r="H4" s="3470"/>
      <c r="I4" s="3469" t="s">
        <v>795</v>
      </c>
      <c r="J4" s="3470"/>
      <c r="K4" s="508" t="s">
        <v>796</v>
      </c>
      <c r="L4" s="2016"/>
      <c r="M4" s="2017"/>
      <c r="N4" s="2017"/>
      <c r="O4" s="2017"/>
      <c r="P4" s="3471" t="s">
        <v>797</v>
      </c>
      <c r="Q4" s="3472"/>
      <c r="R4" s="3477" t="s">
        <v>793</v>
      </c>
      <c r="S4" s="3478"/>
      <c r="T4" s="3477" t="s">
        <v>794</v>
      </c>
      <c r="U4" s="3478"/>
      <c r="V4" s="3464" t="s">
        <v>795</v>
      </c>
      <c r="W4" s="3464"/>
      <c r="X4" s="1502"/>
      <c r="Y4" s="3477" t="s">
        <v>797</v>
      </c>
      <c r="Z4" s="3478"/>
      <c r="AA4" s="3466" t="s">
        <v>793</v>
      </c>
      <c r="AB4" s="3467" t="s">
        <v>794</v>
      </c>
      <c r="AC4" s="3466" t="s">
        <v>795</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4" t="s">
        <v>524</v>
      </c>
      <c r="Q7" s="3496"/>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3" t="s">
        <v>529</v>
      </c>
      <c r="Q9" s="1134" t="str">
        <f t="shared" ref="Q9:Q14" si="6">B9</f>
        <v>用途</v>
      </c>
      <c r="R9" s="1503" t="s">
        <v>8</v>
      </c>
      <c r="S9" s="1504">
        <f t="shared" si="0"/>
        <v>100</v>
      </c>
      <c r="T9" s="1503" t="s">
        <v>8</v>
      </c>
      <c r="U9" s="1504">
        <f t="shared" si="1"/>
        <v>100</v>
      </c>
      <c r="V9" s="1503" t="s">
        <v>8</v>
      </c>
      <c r="W9" s="1504">
        <f t="shared" si="2"/>
        <v>100</v>
      </c>
      <c r="X9" s="1505"/>
      <c r="Y9" s="340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3"/>
      <c r="Q11" s="1134">
        <f t="shared" si="6"/>
        <v>111</v>
      </c>
      <c r="R11" s="1503" t="s">
        <v>8</v>
      </c>
      <c r="S11" s="1504">
        <f t="shared" si="0"/>
        <v>100</v>
      </c>
      <c r="T11" s="1503" t="s">
        <v>8</v>
      </c>
      <c r="U11" s="1504">
        <f t="shared" si="1"/>
        <v>100</v>
      </c>
      <c r="V11" s="1503" t="s">
        <v>8</v>
      </c>
      <c r="W11" s="1504">
        <f t="shared" si="2"/>
        <v>100</v>
      </c>
      <c r="X11" s="1505"/>
      <c r="Y11" s="340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8"/>
      <c r="Q24" s="1507">
        <f t="shared" ref="Q24:Q34"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0"/>
      <c r="Q27" s="1536" t="str">
        <f t="shared" si="11"/>
        <v>成新率</v>
      </c>
      <c r="R27" s="1512" t="s">
        <v>8</v>
      </c>
      <c r="S27" s="1513" t="e">
        <f t="shared" si="12"/>
        <v>#N/A</v>
      </c>
      <c r="T27" s="1512" t="s">
        <v>8</v>
      </c>
      <c r="U27" s="1513" t="e">
        <f t="shared" si="13"/>
        <v>#N/A</v>
      </c>
      <c r="V27" s="1512" t="s">
        <v>8</v>
      </c>
      <c r="W27" s="1513" t="e">
        <f t="shared" si="14"/>
        <v>#N/A</v>
      </c>
      <c r="X27" s="1514"/>
      <c r="Y27" s="350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0"/>
      <c r="Q28" s="1507" t="str">
        <f t="shared" si="11"/>
        <v>物业等级</v>
      </c>
      <c r="R28" s="1508" t="s">
        <v>8</v>
      </c>
      <c r="S28" s="1509">
        <f t="shared" si="12"/>
        <v>100</v>
      </c>
      <c r="T28" s="1508" t="s">
        <v>8</v>
      </c>
      <c r="U28" s="1509">
        <f t="shared" si="13"/>
        <v>100</v>
      </c>
      <c r="V28" s="1508" t="s">
        <v>8</v>
      </c>
      <c r="W28" s="1509">
        <f t="shared" si="14"/>
        <v>100</v>
      </c>
      <c r="X28" s="1502"/>
      <c r="Y28" s="350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0"/>
      <c r="Q29" s="1507" t="str">
        <f t="shared" si="11"/>
        <v>有无电梯</v>
      </c>
      <c r="R29" s="1508" t="s">
        <v>8</v>
      </c>
      <c r="S29" s="1509">
        <f t="shared" si="12"/>
        <v>100</v>
      </c>
      <c r="T29" s="1508" t="s">
        <v>8</v>
      </c>
      <c r="U29" s="1509">
        <f t="shared" si="13"/>
        <v>100</v>
      </c>
      <c r="V29" s="1508" t="s">
        <v>8</v>
      </c>
      <c r="W29" s="1509">
        <f t="shared" si="14"/>
        <v>100</v>
      </c>
      <c r="X29" s="1502"/>
      <c r="Y29" s="350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0"/>
      <c r="Q30" s="1507" t="str">
        <f t="shared" si="11"/>
        <v>建筑面积</v>
      </c>
      <c r="R30" s="1508" t="s">
        <v>8</v>
      </c>
      <c r="S30" s="1509" t="e">
        <f t="shared" si="12"/>
        <v>#N/A</v>
      </c>
      <c r="T30" s="1508" t="s">
        <v>8</v>
      </c>
      <c r="U30" s="1509" t="e">
        <f t="shared" si="13"/>
        <v>#N/A</v>
      </c>
      <c r="V30" s="1508" t="s">
        <v>8</v>
      </c>
      <c r="W30" s="1509" t="e">
        <f t="shared" si="14"/>
        <v>#N/A</v>
      </c>
      <c r="X30" s="1502"/>
      <c r="Y30" s="350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0"/>
      <c r="Q31" s="1134" t="str">
        <f t="shared" si="11"/>
        <v>是否封闭</v>
      </c>
      <c r="R31" s="1503" t="s">
        <v>8</v>
      </c>
      <c r="S31" s="1504">
        <f t="shared" si="12"/>
        <v>100</v>
      </c>
      <c r="T31" s="1503" t="s">
        <v>8</v>
      </c>
      <c r="U31" s="1504">
        <f t="shared" si="13"/>
        <v>100</v>
      </c>
      <c r="V31" s="1503" t="s">
        <v>8</v>
      </c>
      <c r="W31" s="1504">
        <f t="shared" si="14"/>
        <v>100</v>
      </c>
      <c r="X31" s="1505"/>
      <c r="Y31" s="350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0" t="s">
        <v>544</v>
      </c>
      <c r="Q32" s="1507">
        <f t="shared" si="11"/>
        <v>111</v>
      </c>
      <c r="R32" s="1508" t="s">
        <v>8</v>
      </c>
      <c r="S32" s="1509">
        <f t="shared" si="12"/>
        <v>100</v>
      </c>
      <c r="T32" s="1508" t="s">
        <v>8</v>
      </c>
      <c r="U32" s="1509">
        <f t="shared" si="13"/>
        <v>100</v>
      </c>
      <c r="V32" s="1508" t="s">
        <v>8</v>
      </c>
      <c r="W32" s="1509">
        <f t="shared" si="14"/>
        <v>100</v>
      </c>
      <c r="X32" s="1502"/>
      <c r="Y32" s="350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0"/>
      <c r="Q33" s="1507">
        <f t="shared" si="11"/>
        <v>111</v>
      </c>
      <c r="R33" s="1508" t="s">
        <v>8</v>
      </c>
      <c r="S33" s="1509">
        <f t="shared" si="12"/>
        <v>100</v>
      </c>
      <c r="T33" s="1508" t="s">
        <v>8</v>
      </c>
      <c r="U33" s="1509">
        <f t="shared" si="13"/>
        <v>100</v>
      </c>
      <c r="V33" s="1508" t="s">
        <v>8</v>
      </c>
      <c r="W33" s="1509">
        <f t="shared" si="14"/>
        <v>100</v>
      </c>
      <c r="X33" s="1502"/>
      <c r="Y33" s="350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3" t="str">
        <f>A35</f>
        <v>成交单价（元/平方米）</v>
      </c>
      <c r="Q35" s="3463"/>
      <c r="R35" s="3581">
        <f>E35</f>
        <v>0</v>
      </c>
      <c r="S35" s="3581"/>
      <c r="T35" s="3581">
        <f>G35</f>
        <v>0</v>
      </c>
      <c r="U35" s="3581"/>
      <c r="V35" s="3581">
        <f>I35</f>
        <v>0</v>
      </c>
      <c r="W35" s="3581"/>
      <c r="X35" s="1497"/>
      <c r="Y35" s="1516"/>
      <c r="Z35" s="1497"/>
      <c r="AA35" s="1497"/>
      <c r="AB35" s="1497"/>
      <c r="AC35" s="1497"/>
    </row>
    <row r="36" spans="1:29" ht="15.7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63" t="str">
        <f>A36</f>
        <v>比较价格（元/平方米）</v>
      </c>
      <c r="Q36" s="3463"/>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60" t="str">
        <f>A37</f>
        <v>估价对象XX用房的比较价格（楼面单价，元/平方米）</v>
      </c>
      <c r="Q37" s="3461"/>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2019-8</v>
      </c>
      <c r="D46" s="2522">
        <f>EDATE(C46,-1)</f>
        <v>43647</v>
      </c>
      <c r="E46" s="2522">
        <f t="shared" ref="E46:O46" si="16">EDATE(D46,-1)</f>
        <v>43617</v>
      </c>
      <c r="F46" s="2522">
        <f t="shared" si="16"/>
        <v>43586</v>
      </c>
      <c r="G46" s="2522">
        <f t="shared" si="16"/>
        <v>43556</v>
      </c>
      <c r="H46" s="2522">
        <f t="shared" si="16"/>
        <v>43525</v>
      </c>
      <c r="I46" s="2522">
        <f t="shared" si="16"/>
        <v>43497</v>
      </c>
      <c r="J46" s="2522">
        <f t="shared" si="16"/>
        <v>43466</v>
      </c>
      <c r="K46" s="2522">
        <f t="shared" si="16"/>
        <v>43435</v>
      </c>
      <c r="L46" s="2522">
        <f t="shared" si="16"/>
        <v>43405</v>
      </c>
      <c r="M46" s="2522">
        <f t="shared" si="16"/>
        <v>43374</v>
      </c>
      <c r="N46" s="2522">
        <f t="shared" si="16"/>
        <v>43344</v>
      </c>
      <c r="O46" s="2522">
        <f t="shared" si="16"/>
        <v>43313</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93.75">
      <c r="A7" s="259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D1"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43686</v>
      </c>
      <c r="H1" s="2656">
        <f>IF(C1&gt;C13,0,MATCH(C1,C$13:C$105,-1))+IF(SUMIF(C13:C105,C1,D13:D105)=0,13,12)</f>
        <v>18</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2027</v>
      </c>
      <c r="B1" s="3288"/>
      <c r="C1" s="3288"/>
      <c r="D1" s="3288"/>
      <c r="E1" s="3288"/>
      <c r="F1" s="3288"/>
      <c r="G1" s="3288"/>
      <c r="H1" s="3288"/>
      <c r="I1" s="3288"/>
      <c r="J1" s="3288"/>
      <c r="K1" s="3288"/>
      <c r="L1" s="3288"/>
      <c r="M1" s="3288"/>
      <c r="N1" s="3288"/>
      <c r="O1" s="3288"/>
      <c r="P1" s="3288"/>
      <c r="Q1" s="3288"/>
      <c r="R1" s="3288"/>
    </row>
    <row r="2" spans="1:18">
      <c r="A2" s="1723" t="s">
        <v>2029</v>
      </c>
      <c r="B2" s="1723"/>
      <c r="C2" s="1723"/>
      <c r="D2" s="1723"/>
      <c r="E2" s="1723"/>
      <c r="F2" s="1723"/>
      <c r="G2" s="1723"/>
      <c r="H2" s="1723"/>
      <c r="I2" s="1724"/>
      <c r="J2" s="1724"/>
      <c r="K2" s="1725" t="str">
        <f>"估价期日："&amp;TEXT(项目基本情况!D3,"yyyy年m月d日;;")</f>
        <v>估价期日：2019年8月9日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89" t="s">
        <v>2018</v>
      </c>
      <c r="B3" s="3289" t="s">
        <v>2711</v>
      </c>
      <c r="C3" s="3290" t="s">
        <v>2019</v>
      </c>
      <c r="D3" s="3289" t="s">
        <v>2715</v>
      </c>
      <c r="E3" s="3292" t="s">
        <v>2020</v>
      </c>
      <c r="F3" s="3292"/>
      <c r="G3" s="3292"/>
      <c r="H3" s="3292" t="s">
        <v>2021</v>
      </c>
      <c r="I3" s="3292"/>
      <c r="J3" s="3292"/>
      <c r="K3" s="3290" t="s">
        <v>2022</v>
      </c>
      <c r="L3" s="3290" t="s">
        <v>2023</v>
      </c>
      <c r="M3" s="3289" t="s">
        <v>2712</v>
      </c>
      <c r="N3" s="3291" t="str">
        <f>"（分摊）"&amp;项目基本情况!B16&amp;"国有建设用地使用权面积/㎡"</f>
        <v>（分摊）出让国有建设用地使用权面积/㎡</v>
      </c>
      <c r="O3" s="3289" t="s">
        <v>2052</v>
      </c>
      <c r="P3" s="3290" t="s">
        <v>2032</v>
      </c>
      <c r="Q3" s="3290" t="s">
        <v>2053</v>
      </c>
      <c r="R3" s="3290" t="s">
        <v>2024</v>
      </c>
    </row>
    <row r="4" spans="1:18" ht="36.75" customHeight="1">
      <c r="A4" s="3289"/>
      <c r="B4" s="3289"/>
      <c r="C4" s="3290"/>
      <c r="D4" s="3289"/>
      <c r="E4" s="2492" t="s">
        <v>2031</v>
      </c>
      <c r="F4" s="2492" t="s">
        <v>2724</v>
      </c>
      <c r="G4" s="2492" t="s">
        <v>2025</v>
      </c>
      <c r="H4" s="2492" t="s">
        <v>2026</v>
      </c>
      <c r="I4" s="2492" t="s">
        <v>2725</v>
      </c>
      <c r="J4" s="2492" t="s">
        <v>2025</v>
      </c>
      <c r="K4" s="3290"/>
      <c r="L4" s="3290"/>
      <c r="M4" s="3289"/>
      <c r="N4" s="3291"/>
      <c r="O4" s="3289"/>
      <c r="P4" s="3290"/>
      <c r="Q4" s="3290"/>
      <c r="R4" s="3290"/>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7009</v>
      </c>
      <c r="Q5" s="1726">
        <f ca="1">结果表!D42</f>
        <v>14650</v>
      </c>
      <c r="R5" s="1727">
        <f ca="1">结果表!C42</f>
        <v>1286</v>
      </c>
    </row>
    <row r="6" spans="1:18">
      <c r="A6" s="3293" t="str">
        <f>IF(项目基本情况!B9="市场价格","——","抵押价格")</f>
        <v>——</v>
      </c>
      <c r="B6" s="3294"/>
      <c r="C6" s="3294"/>
      <c r="D6" s="3294"/>
      <c r="E6" s="3294"/>
      <c r="F6" s="3294"/>
      <c r="G6" s="3294"/>
      <c r="H6" s="3294"/>
      <c r="I6" s="3294"/>
      <c r="J6" s="3294"/>
      <c r="K6" s="3294"/>
      <c r="L6" s="3294"/>
      <c r="M6" s="3294"/>
      <c r="N6" s="3294"/>
      <c r="O6" s="3294"/>
      <c r="P6" s="3294"/>
      <c r="Q6" s="3295"/>
      <c r="R6" s="1728">
        <f ca="1">结果表!O39</f>
        <v>1286</v>
      </c>
    </row>
    <row r="7" spans="1:18">
      <c r="A7" s="3293" t="str">
        <f>IF(项目基本情况!B9="市场价格","——",IF(项目基本情况!E8="已注销及未注销","抵押担保权已注销时的抵押价格","——"))</f>
        <v>——</v>
      </c>
      <c r="B7" s="3294"/>
      <c r="C7" s="3294"/>
      <c r="D7" s="3294"/>
      <c r="E7" s="3294"/>
      <c r="F7" s="3294"/>
      <c r="G7" s="3294"/>
      <c r="H7" s="3294"/>
      <c r="I7" s="3294"/>
      <c r="J7" s="3294"/>
      <c r="K7" s="3294"/>
      <c r="L7" s="3294"/>
      <c r="M7" s="3294"/>
      <c r="N7" s="3294"/>
      <c r="O7" s="3294"/>
      <c r="P7" s="3294"/>
      <c r="Q7" s="3295"/>
      <c r="R7" s="1728" t="str">
        <f>结果表!O40</f>
        <v>——</v>
      </c>
    </row>
    <row r="8" spans="1:18">
      <c r="A8" s="3293" t="str">
        <f>IF(项目基本情况!B9="市场价格","——",项目基本情况!E9)</f>
        <v>——</v>
      </c>
      <c r="B8" s="3294"/>
      <c r="C8" s="3294"/>
      <c r="D8" s="3294"/>
      <c r="E8" s="3294"/>
      <c r="F8" s="3294"/>
      <c r="G8" s="3294"/>
      <c r="H8" s="3294"/>
      <c r="I8" s="3294"/>
      <c r="J8" s="3294"/>
      <c r="K8" s="3294"/>
      <c r="L8" s="3294"/>
      <c r="M8" s="3294"/>
      <c r="N8" s="3294"/>
      <c r="O8" s="3294"/>
      <c r="P8" s="3294"/>
      <c r="Q8" s="3295"/>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7" t="s">
        <v>2054</v>
      </c>
      <c r="B1" s="3297"/>
      <c r="C1" s="3297"/>
      <c r="D1" s="3297"/>
    </row>
    <row r="2" spans="1:4" ht="47.25" customHeight="1">
      <c r="A2" s="3298" t="str">
        <f>"1.权利限制："&amp;项目基本情况!L24&amp;"未设定租赁等其他他项权利。"</f>
        <v>1.权利限制：根据估价对象《不动产权证书》原件、《国有土地使用权》复印件，截至估价期日，估价对象抵押权未见登记。未设定租赁等其他他项权利。</v>
      </c>
      <c r="B2" s="3298"/>
      <c r="C2" s="3298"/>
      <c r="D2" s="3298"/>
    </row>
    <row r="3" spans="1:4" ht="48" customHeight="1">
      <c r="A3" s="32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7"/>
      <c r="C3" s="3297"/>
      <c r="D3" s="3297"/>
    </row>
    <row r="4" spans="1:4" ht="36.75" customHeight="1">
      <c r="A4" s="3297" t="str">
        <f>"3.估价规划限制条件：详见"&amp;项目基本情况!E21&amp;"。"</f>
        <v>3.估价规划限制条件：详见《建设工程规划许可证》[]、《出让合同》[]。</v>
      </c>
      <c r="B4" s="3297"/>
      <c r="C4" s="3297"/>
      <c r="D4" s="3297"/>
    </row>
    <row r="5" spans="1:4">
      <c r="A5" s="3296" t="s">
        <v>2055</v>
      </c>
      <c r="B5" s="3296"/>
      <c r="C5" s="3296"/>
      <c r="D5" s="3296"/>
    </row>
    <row r="6" spans="1:4">
      <c r="A6" s="3297" t="s">
        <v>2033</v>
      </c>
      <c r="B6" s="3297"/>
      <c r="C6" s="3297"/>
      <c r="D6" s="3297"/>
    </row>
    <row r="7" spans="1:4" ht="33" customHeight="1">
      <c r="A7" s="3297" t="s">
        <v>2555</v>
      </c>
      <c r="B7" s="3297"/>
      <c r="C7" s="3297"/>
      <c r="D7" s="3297"/>
    </row>
    <row r="8" spans="1:4" ht="32.25" customHeight="1">
      <c r="A8" s="32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7"/>
      <c r="C8" s="3297"/>
      <c r="D8" s="3297"/>
    </row>
    <row r="9" spans="1:4" ht="33.75" customHeight="1">
      <c r="A9" s="3297" t="str">
        <f>IF(项目基本情况!B8="抵押","3.抵押双方在办理抵押登记手续时，应使用本公司出具的正式《土地估价报告》，特提请报告使用者注意。","——")</f>
        <v>——</v>
      </c>
      <c r="B9" s="3297"/>
      <c r="C9" s="3297"/>
      <c r="D9" s="3297"/>
    </row>
    <row r="10" spans="1:4">
      <c r="A10" s="3297" t="str">
        <f>IF(项目基本情况!B8="抵押","4.估价师所知悉的法定优先受偿款情况为：","——")</f>
        <v>——</v>
      </c>
      <c r="B10" s="3297"/>
      <c r="C10" s="3297"/>
      <c r="D10" s="3297"/>
    </row>
    <row r="11" spans="1:4" ht="37.5" customHeight="1">
      <c r="A11" s="3299" t="str">
        <f>IF(项目基本情况!B8="抵押","（1）"&amp;CONCATENATE(项目基本情况!L24,项目基本情况!L25,项目基本情况!L26),"——")</f>
        <v>——</v>
      </c>
      <c r="B11" s="3299"/>
      <c r="C11" s="3299"/>
      <c r="D11" s="3299"/>
    </row>
    <row r="12" spans="1:4" ht="168" customHeight="1">
      <c r="A12" s="3296" t="s">
        <v>2057</v>
      </c>
      <c r="B12" s="3296"/>
      <c r="C12" s="3296"/>
      <c r="D12" s="3296"/>
    </row>
    <row r="13" spans="1:4">
      <c r="A13" s="3300" t="s">
        <v>2726</v>
      </c>
      <c r="B13" s="3300"/>
      <c r="C13" s="3300"/>
      <c r="D13" s="3300"/>
    </row>
    <row r="14" spans="1:4">
      <c r="A14" s="3299" t="str">
        <f>IF(项目基本情况!B8="抵押","综上，"&amp;结果表!K47,"——")</f>
        <v>——</v>
      </c>
      <c r="B14" s="3299"/>
      <c r="C14" s="3299"/>
      <c r="D14" s="3299"/>
    </row>
    <row r="15" spans="1:4" ht="58.5" customHeight="1">
      <c r="A15" s="32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7"/>
      <c r="C15" s="3297"/>
      <c r="D15" s="3297"/>
    </row>
    <row r="16" spans="1:4" ht="70.5" customHeight="1">
      <c r="A16" s="32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7"/>
      <c r="C16" s="3297"/>
      <c r="D16" s="3297"/>
    </row>
    <row r="17" spans="1:4">
      <c r="A17" s="3297" t="s">
        <v>2682</v>
      </c>
      <c r="B17" s="3297"/>
      <c r="C17" s="3297"/>
      <c r="D17" s="3297"/>
    </row>
    <row r="18" spans="1:4">
      <c r="A18" s="3297" t="s">
        <v>2674</v>
      </c>
      <c r="B18" s="3297"/>
      <c r="C18" s="3297"/>
      <c r="D18" s="3297"/>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7" t="s">
        <v>2679</v>
      </c>
      <c r="B23" s="3297"/>
      <c r="C23" s="3297"/>
      <c r="D23" s="3297"/>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44481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2918</v>
      </c>
      <c r="C18" s="1493"/>
    </row>
    <row r="19" spans="1:3">
      <c r="A19" s="8" t="s">
        <v>120</v>
      </c>
      <c r="B19" s="2792" t="s">
        <v>2925</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2021-10-12T01:52:33Z</dcterms:modified>
</cp:coreProperties>
</file>