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-1-0748军队-天通北苑（海三十七）\F02-2015年\"/>
    </mc:Choice>
  </mc:AlternateContent>
  <xr:revisionPtr revIDLastSave="0" documentId="13_ncr:1_{100C69FC-F55B-4602-B8F7-4535755775B7}" xr6:coauthVersionLast="47" xr6:coauthVersionMax="47" xr10:uidLastSave="{00000000-0000-0000-0000-000000000000}"/>
  <bookViews>
    <workbookView xWindow="-120" yWindow="-120" windowWidth="38640" windowHeight="21240" tabRatio="787" activeTab="6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D29" i="43" l="1"/>
  <c r="C8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B22" i="67" s="1"/>
  <c r="S22" i="67" s="1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C26" i="67" s="1"/>
  <c r="P26" i="67"/>
  <c r="E26" i="67" s="1"/>
  <c r="E25" i="67" s="1"/>
  <c r="E24" i="67" s="1"/>
  <c r="Q26" i="67"/>
  <c r="F26" i="67" s="1"/>
  <c r="S26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F72" i="67" s="1"/>
  <c r="D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 s="1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Y63" i="66"/>
  <c r="A70" i="66"/>
  <c r="H6" i="59"/>
  <c r="O1" i="66"/>
  <c r="J1" i="66"/>
  <c r="J2" i="66" s="1"/>
  <c r="N23" i="43" s="1"/>
  <c r="B9" i="66"/>
  <c r="C9" i="66"/>
  <c r="H9" i="66" s="1"/>
  <c r="E9" i="66"/>
  <c r="F9" i="66"/>
  <c r="B10" i="66"/>
  <c r="C10" i="66"/>
  <c r="H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D14" i="66" s="1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5" i="66" s="1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4" i="66"/>
  <c r="D19" i="66"/>
  <c r="K14" i="66"/>
  <c r="D56" i="66"/>
  <c r="D49" i="66"/>
  <c r="D44" i="66"/>
  <c r="D39" i="66"/>
  <c r="D33" i="66"/>
  <c r="D28" i="66"/>
  <c r="J16" i="66"/>
  <c r="G16" i="66"/>
  <c r="G15" i="66"/>
  <c r="G14" i="66"/>
  <c r="J12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D1" i="43"/>
  <c r="G2" i="43"/>
  <c r="F39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1" i="43" s="1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C25" i="39"/>
  <c r="F43" i="39"/>
  <c r="AA43" i="39" s="1"/>
  <c r="H43" i="39"/>
  <c r="U43" i="39" s="1"/>
  <c r="J41" i="39"/>
  <c r="W41" i="39" s="1"/>
  <c r="J42" i="39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C101" i="43"/>
  <c r="AC38" i="39"/>
  <c r="I101" i="43"/>
  <c r="W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W10" i="39"/>
  <c r="AC10" i="39"/>
  <c r="B2" i="39"/>
  <c r="I2" i="66"/>
  <c r="N22" i="43" s="1"/>
  <c r="H2" i="66"/>
  <c r="N21" i="43" s="1"/>
  <c r="K2" i="66"/>
  <c r="N24" i="43" s="1"/>
  <c r="H15" i="44"/>
  <c r="M1" i="43"/>
  <c r="J2" i="65"/>
  <c r="F17" i="59"/>
  <c r="H7" i="65"/>
  <c r="H6" i="65"/>
  <c r="G4" i="65"/>
  <c r="H5" i="65"/>
  <c r="H8" i="65"/>
  <c r="H4" i="65"/>
  <c r="E4" i="65"/>
  <c r="E5" i="65"/>
  <c r="E6" i="65"/>
  <c r="F34" i="43" l="1"/>
  <c r="D48" i="67"/>
  <c r="C49" i="67"/>
  <c r="M5" i="43"/>
  <c r="F12" i="39"/>
  <c r="S12" i="39" s="1"/>
  <c r="I17" i="43"/>
  <c r="K17" i="43"/>
  <c r="E59" i="43"/>
  <c r="B57" i="43" s="1"/>
  <c r="J20" i="43"/>
  <c r="H4" i="66"/>
  <c r="E49" i="67"/>
  <c r="E50" i="67" s="1"/>
  <c r="U50" i="67" s="1"/>
  <c r="F114" i="43"/>
  <c r="F33" i="43"/>
  <c r="H6" i="44"/>
  <c r="D10" i="66"/>
  <c r="M9" i="43"/>
  <c r="F59" i="43"/>
  <c r="H62" i="43" s="1"/>
  <c r="C17" i="43"/>
  <c r="H11" i="44"/>
  <c r="S39" i="39"/>
  <c r="M4" i="43"/>
  <c r="F35" i="43"/>
  <c r="A12" i="43"/>
  <c r="M7" i="43"/>
  <c r="N6" i="43"/>
  <c r="J31" i="39"/>
  <c r="J44" i="39"/>
  <c r="W44" i="39" s="1"/>
  <c r="Q66" i="67"/>
  <c r="B65" i="67"/>
  <c r="N65" i="67" s="1"/>
  <c r="H16" i="63"/>
  <c r="H12" i="44"/>
  <c r="N2" i="43"/>
  <c r="M2" i="43"/>
  <c r="N3" i="43"/>
  <c r="F48" i="43" s="1"/>
  <c r="H13" i="44"/>
  <c r="N4" i="43"/>
  <c r="M12" i="43"/>
  <c r="H32" i="39"/>
  <c r="U32" i="39" s="1"/>
  <c r="E101" i="43"/>
  <c r="M11" i="43"/>
  <c r="AA45" i="39"/>
  <c r="J37" i="39"/>
  <c r="L101" i="43"/>
  <c r="K109" i="43"/>
  <c r="F28" i="59"/>
  <c r="E45" i="67"/>
  <c r="E46" i="67" s="1"/>
  <c r="U46" i="67" s="1"/>
  <c r="S66" i="67"/>
  <c r="T70" i="67"/>
  <c r="J14" i="66"/>
  <c r="E29" i="67"/>
  <c r="E30" i="67" s="1"/>
  <c r="U30" i="67" s="1"/>
  <c r="B41" i="67"/>
  <c r="B42" i="67" s="1"/>
  <c r="S42" i="67" s="1"/>
  <c r="H5" i="44"/>
  <c r="H8" i="44"/>
  <c r="N1" i="43"/>
  <c r="N9" i="43"/>
  <c r="N8" i="43"/>
  <c r="F32" i="39"/>
  <c r="AA32" i="39" s="1"/>
  <c r="H10" i="44"/>
  <c r="H7" i="44"/>
  <c r="G6" i="66"/>
  <c r="E33" i="67"/>
  <c r="E34" i="67" s="1"/>
  <c r="U34" i="67" s="1"/>
  <c r="W45" i="39"/>
  <c r="H16" i="44"/>
  <c r="N11" i="43"/>
  <c r="M8" i="43"/>
  <c r="N10" i="43"/>
  <c r="N7" i="43"/>
  <c r="N5" i="43"/>
  <c r="N12" i="43"/>
  <c r="W32" i="39"/>
  <c r="H14" i="44"/>
  <c r="M6" i="43"/>
  <c r="H21" i="39"/>
  <c r="S8" i="39"/>
  <c r="M10" i="43"/>
  <c r="E48" i="43"/>
  <c r="B46" i="43" s="1"/>
  <c r="N101" i="43"/>
  <c r="I3" i="63"/>
  <c r="E5" i="43"/>
  <c r="G7" i="66"/>
  <c r="H14" i="66"/>
  <c r="W67" i="66"/>
  <c r="F67" i="66" s="1"/>
  <c r="K6" i="66"/>
  <c r="G13" i="66"/>
  <c r="G9" i="66"/>
  <c r="D65" i="67"/>
  <c r="E57" i="67"/>
  <c r="E58" i="67" s="1"/>
  <c r="U58" i="67" s="1"/>
  <c r="C64" i="67"/>
  <c r="F65" i="67"/>
  <c r="U66" i="67"/>
  <c r="D71" i="43"/>
  <c r="D70" i="43"/>
  <c r="D72" i="43"/>
  <c r="D73" i="43"/>
  <c r="J77" i="43"/>
  <c r="D77" i="43" s="1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AA13" i="39" s="1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I8" i="66" s="1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B2" i="68"/>
  <c r="D7" i="68" s="1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4" i="66"/>
  <c r="I4" i="66"/>
  <c r="I6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6" i="65"/>
  <c r="E7" i="65"/>
  <c r="E8" i="65"/>
  <c r="G5" i="65"/>
  <c r="D8" i="65"/>
  <c r="D5" i="65"/>
  <c r="G8" i="65"/>
  <c r="G7" i="65"/>
  <c r="C6" i="43" l="1"/>
  <c r="D65" i="63"/>
  <c r="F33" i="59"/>
  <c r="B17" i="9" s="1"/>
  <c r="H74" i="43"/>
  <c r="H70" i="43"/>
  <c r="D60" i="63"/>
  <c r="I13" i="66"/>
  <c r="I15" i="66"/>
  <c r="O63" i="67"/>
  <c r="D64" i="67"/>
  <c r="W37" i="39"/>
  <c r="AC37" i="39"/>
  <c r="D62" i="63"/>
  <c r="E60" i="63" s="1"/>
  <c r="B58" i="63" s="1"/>
  <c r="C15" i="63" s="1"/>
  <c r="I5" i="66"/>
  <c r="I17" i="66"/>
  <c r="Q65" i="67"/>
  <c r="F64" i="67"/>
  <c r="E70" i="43"/>
  <c r="B68" i="43" s="1"/>
  <c r="C24" i="4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62" i="66" s="1"/>
  <c r="D5" i="68"/>
  <c r="D8" i="68"/>
  <c r="N63" i="67"/>
  <c r="N64" i="67"/>
  <c r="D53" i="67"/>
  <c r="C54" i="67"/>
  <c r="D6" i="68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N104" i="46"/>
  <c r="H22" i="43"/>
  <c r="G22" i="43"/>
  <c r="B114" i="43"/>
  <c r="K102" i="43"/>
  <c r="N102" i="43"/>
  <c r="J102" i="43"/>
  <c r="D102" i="43"/>
  <c r="C38" i="67"/>
  <c r="D37" i="67"/>
  <c r="G17" i="43"/>
  <c r="C16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7" i="65"/>
  <c r="D4" i="65"/>
  <c r="D6" i="65"/>
  <c r="D5" i="43" l="1"/>
  <c r="K3" i="65"/>
  <c r="P58" i="66"/>
  <c r="P36" i="66"/>
  <c r="P24" i="66"/>
  <c r="P37" i="66"/>
  <c r="P48" i="66"/>
  <c r="P35" i="66"/>
  <c r="Q64" i="67"/>
  <c r="Q63" i="67"/>
  <c r="P45" i="66"/>
  <c r="P50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E58" i="39"/>
  <c r="F56" i="39"/>
  <c r="G3" i="65"/>
  <c r="E20" i="43"/>
  <c r="G2" i="65"/>
  <c r="G1" i="65"/>
  <c r="C23" i="43" l="1"/>
  <c r="C23" i="64"/>
  <c r="C22" i="64" s="1"/>
  <c r="C30" i="64" s="1"/>
  <c r="L61" i="66"/>
  <c r="L62" i="66"/>
  <c r="Q20" i="43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B6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F6" i="67" s="1"/>
  <c r="V6" i="67" s="1"/>
  <c r="V10" i="67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B3" i="43" l="1"/>
  <c r="F6" i="59" s="1"/>
  <c r="E36" i="43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<sst xmlns="http://schemas.openxmlformats.org/spreadsheetml/2006/main" count="3981" uniqueCount="1810">
  <si>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</si>
  <si>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</si>
  <si>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</si>
  <si>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</si>
  <si>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</si>
  <si>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</si>
  <si>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</si>
  <si>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</si>
  <si>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</si>
  <si>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</si>
  <si>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</si>
  <si>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</si>
  <si>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</si>
  <si>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</si>
  <si>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</si>
  <si>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</si>
  <si>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</si>
  <si>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</si>
  <si>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</si>
  <si>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</si>
  <si>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</si>
  <si>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</si>
  <si>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</si>
  <si>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</si>
  <si>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</si>
  <si>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</si>
  <si>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</si>
  <si>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</si>
  <si>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</si>
  <si>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</si>
  <si>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</si>
  <si>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</si>
  <si>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</si>
  <si>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</si>
  <si>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</si>
  <si>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</si>
  <si>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</si>
  <si>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</si>
  <si>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</si>
  <si>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</si>
  <si>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</si>
  <si>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</si>
  <si>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</si>
  <si>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</si>
  <si>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</si>
  <si>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</si>
  <si>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</si>
  <si>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</si>
  <si>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</si>
  <si>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</si>
  <si>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</si>
  <si>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</si>
  <si>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</si>
  <si>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</si>
  <si>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</si>
  <si>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</si>
  <si>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</si>
  <si>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</si>
  <si>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</si>
  <si>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</si>
  <si>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</si>
  <si>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</si>
  <si>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</si>
  <si>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</si>
  <si>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</si>
  <si>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</si>
  <si>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</si>
  <si>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</si>
  <si>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</si>
  <si>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</si>
  <si>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</si>
  <si>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</si>
  <si>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</si>
  <si>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</si>
  <si>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</si>
  <si>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</si>
  <si>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</si>
  <si>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</si>
  <si>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</si>
  <si>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</si>
  <si>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</si>
  <si>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</si>
  <si>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</si>
  <si>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</si>
  <si>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</si>
  <si>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</si>
  <si>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</si>
  <si>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</si>
  <si>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</si>
  <si>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</si>
  <si>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</si>
  <si>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</si>
  <si>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</si>
  <si>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</si>
  <si>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</si>
  <si>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</si>
  <si>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</si>
  <si>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</si>
  <si>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</si>
  <si>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</si>
  <si>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</si>
  <si>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</si>
  <si>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</si>
  <si>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</si>
  <si>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</si>
  <si>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</si>
  <si>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</si>
  <si>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</si>
  <si>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</si>
  <si>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</si>
  <si>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</si>
  <si>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</si>
  <si>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</si>
  <si>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</si>
  <si>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</si>
  <si>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</si>
  <si>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</si>
  <si>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</si>
  <si>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</si>
  <si>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</si>
  <si>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</si>
  <si>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</si>
  <si>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</si>
  <si>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</si>
  <si>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</si>
  <si>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</si>
  <si>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</si>
  <si>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</si>
  <si>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</si>
  <si>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</si>
  <si>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</si>
  <si>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</si>
  <si>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</si>
  <si>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</si>
  <si>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</si>
  <si>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</si>
  <si>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</si>
  <si>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</si>
  <si>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</si>
  <si>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</si>
  <si>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</si>
  <si>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</si>
  <si>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</si>
  <si>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</si>
  <si>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</si>
  <si>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</si>
  <si>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</si>
  <si>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</si>
  <si>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</si>
  <si>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</si>
  <si>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</si>
  <si>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</si>
  <si>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</si>
  <si>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</si>
  <si>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</si>
  <si>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</si>
  <si>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</si>
  <si>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</si>
  <si>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</si>
  <si>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</si>
  <si>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</si>
  <si>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</si>
  <si>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</si>
  <si>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</si>
  <si>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</si>
  <si>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</si>
  <si>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</si>
  <si>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</si>
  <si>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</si>
  <si>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</si>
  <si>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</si>
  <si>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</si>
  <si>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</si>
  <si>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</si>
  <si>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</si>
  <si>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</si>
  <si>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</si>
  <si>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</si>
  <si>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</si>
  <si>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</si>
  <si>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</si>
  <si>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</si>
  <si>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</si>
  <si>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</si>
  <si>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</si>
  <si>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</si>
  <si>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</si>
  <si>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</si>
  <si>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</si>
  <si>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</si>
  <si>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</si>
  <si>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</si>
  <si>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</si>
  <si>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</si>
  <si>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</si>
  <si>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</si>
  <si>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</si>
  <si>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</si>
  <si>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</si>
  <si>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</si>
  <si>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</si>
  <si>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</si>
  <si>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</si>
  <si>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</si>
  <si>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</si>
  <si>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</si>
  <si>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</si>
  <si>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</si>
  <si>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</si>
  <si>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</si>
  <si>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</si>
  <si>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</si>
  <si>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</si>
  <si>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</si>
  <si>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</si>
  <si>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</si>
  <si>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</si>
  <si>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</si>
  <si>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</si>
  <si>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</si>
  <si>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</si>
  <si>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</si>
  <si>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</si>
  <si>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</si>
  <si>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</si>
  <si>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</si>
  <si>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</si>
  <si>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</si>
  <si>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</si>
  <si>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</si>
  <si>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</si>
  <si>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</si>
  <si>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</si>
  <si>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</si>
  <si>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</si>
  <si>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</si>
  <si>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</si>
  <si>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</si>
  <si>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</si>
  <si>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</si>
  <si>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</si>
  <si>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</si>
  <si>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</si>
  <si>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</si>
  <si>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</si>
  <si>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</si>
  <si>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</si>
  <si>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</si>
  <si>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</si>
  <si>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</si>
  <si>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</si>
  <si>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</si>
  <si>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</si>
  <si>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</si>
  <si>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</si>
  <si>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</si>
  <si>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</si>
  <si>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</si>
  <si>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</si>
  <si>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</si>
  <si>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</si>
  <si>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</si>
  <si>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</si>
  <si>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</si>
  <si>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</si>
  <si>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</si>
  <si>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</si>
  <si>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</si>
  <si>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</si>
  <si>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</si>
  <si>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</si>
  <si>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</si>
  <si>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</si>
  <si>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</si>
  <si>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</si>
  <si>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</si>
  <si>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</si>
  <si>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</si>
  <si>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</si>
  <si>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</si>
  <si>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</si>
  <si>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</si>
  <si>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</si>
  <si>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</si>
  <si>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</si>
  <si>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</si>
  <si>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</si>
  <si>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</si>
  <si>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</si>
  <si>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</si>
  <si>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</si>
  <si>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</si>
  <si>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</si>
  <si>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</si>
  <si>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</si>
  <si>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</si>
  <si>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</si>
  <si>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</si>
  <si>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</si>
  <si>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</si>
  <si>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</si>
  <si>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</si>
  <si>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</si>
  <si>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</si>
  <si>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</si>
  <si>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</si>
  <si>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</si>
  <si>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</si>
  <si>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</si>
  <si>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</si>
  <si>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</si>
  <si>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</si>
  <si>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</si>
  <si>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</si>
  <si>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</si>
  <si>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</si>
  <si>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</si>
  <si>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</si>
  <si>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</si>
  <si>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</si>
  <si>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</si>
  <si>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</si>
  <si>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</si>
  <si>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</si>
  <si>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</si>
  <si>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</si>
  <si>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</si>
  <si>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</si>
  <si>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</si>
  <si>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</si>
  <si>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</si>
  <si>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</si>
  <si>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</si>
  <si>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</si>
  <si>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</si>
  <si>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</si>
  <si>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</si>
  <si>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</si>
  <si>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</si>
  <si>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</si>
  <si>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</si>
  <si>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</si>
  <si>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</si>
  <si>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</si>
  <si>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</si>
  <si>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</si>
  <si>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</si>
  <si>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</si>
  <si>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</si>
  <si>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</si>
  <si>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</si>
  <si>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</si>
  <si>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</si>
  <si>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</si>
  <si>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</si>
  <si>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</si>
  <si>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</si>
  <si>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</si>
  <si>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</si>
  <si>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</si>
  <si>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</si>
  <si>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</si>
  <si>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</si>
  <si>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</si>
  <si>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</si>
  <si>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</si>
  <si>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</si>
  <si>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</si>
  <si>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</si>
  <si>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</si>
  <si>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</si>
  <si>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</si>
  <si>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</si>
  <si>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</si>
  <si>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</si>
  <si>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</si>
  <si>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</si>
  <si>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</si>
  <si>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</si>
  <si>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</si>
  <si>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</si>
  <si>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</si>
  <si>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</si>
  <si>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</si>
  <si>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</si>
  <si>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</si>
  <si>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</si>
  <si>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</si>
  <si>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</si>
  <si>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</si>
  <si>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</si>
  <si>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</si>
  <si>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</si>
  <si>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</si>
  <si>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</si>
  <si>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</si>
  <si>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</si>
  <si>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</si>
  <si>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</si>
  <si>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</si>
  <si>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</si>
  <si>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</si>
  <si>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</si>
  <si>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</si>
  <si>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</si>
  <si>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</si>
  <si>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</si>
  <si>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</si>
  <si>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</si>
  <si>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</si>
  <si>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</si>
  <si>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</si>
  <si>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</si>
  <si>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</si>
  <si>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</si>
  <si>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</si>
  <si>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</si>
  <si>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</si>
  <si>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</si>
  <si>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</si>
  <si>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</si>
  <si>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</si>
  <si>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</si>
  <si>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</si>
  <si>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</si>
  <si>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</si>
  <si>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</si>
  <si>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</si>
  <si>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</si>
  <si>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</si>
  <si>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</si>
  <si>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</si>
  <si>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</si>
  <si>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</si>
  <si>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</si>
  <si>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</si>
  <si>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</si>
  <si>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</si>
  <si>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</si>
  <si>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</si>
  <si>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</si>
  <si>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</si>
  <si>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</si>
  <si>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</si>
  <si>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</si>
  <si>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</si>
  <si>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</si>
  <si>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</si>
  <si>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</si>
  <si>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</si>
  <si>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</si>
  <si>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</si>
  <si>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</si>
  <si>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</si>
  <si>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</si>
  <si>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</si>
  <si>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</si>
  <si>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</si>
  <si>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</si>
  <si>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</si>
  <si>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</si>
  <si>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</si>
  <si>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</si>
  <si>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</si>
  <si>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</si>
  <si>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</si>
  <si>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</si>
  <si>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</si>
  <si>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</si>
  <si>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</si>
  <si>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</si>
  <si>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</si>
  <si>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</si>
  <si>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</si>
  <si>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</si>
  <si>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</si>
  <si>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</si>
  <si>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</si>
  <si>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</si>
  <si>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</si>
  <si>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</si>
  <si>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</si>
  <si>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</si>
  <si>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</si>
  <si>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</si>
  <si>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</si>
  <si>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</si>
  <si>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</si>
  <si>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</si>
  <si>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</si>
  <si>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</si>
  <si>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</si>
  <si>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</si>
  <si>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</si>
  <si>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</si>
  <si>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</si>
  <si>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</si>
  <si>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</si>
  <si>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</si>
  <si>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</si>
  <si>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</si>
  <si>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</si>
  <si>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</si>
  <si>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</si>
  <si>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</si>
  <si>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</si>
  <si>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</si>
  <si>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</si>
  <si>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</si>
  <si>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</si>
  <si>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</si>
  <si>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</si>
  <si>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</si>
  <si>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</si>
  <si>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</si>
  <si>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</si>
  <si>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</si>
  <si>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</si>
  <si>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</si>
  <si>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</si>
  <si>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</si>
  <si>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</si>
  <si>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</si>
  <si>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</si>
  <si>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</si>
  <si>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</si>
  <si>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</si>
  <si>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</si>
  <si>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</si>
  <si>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</si>
  <si>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</si>
  <si>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</si>
  <si>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</si>
  <si>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</si>
  <si>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</si>
  <si>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</si>
  <si>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</si>
  <si>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</si>
  <si>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</si>
  <si>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</si>
  <si>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</si>
  <si>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</si>
  <si>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</si>
  <si>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</si>
  <si>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</si>
  <si>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</si>
  <si>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</si>
  <si>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</si>
  <si>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</si>
  <si>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</si>
  <si>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</si>
  <si>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</si>
  <si>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</si>
  <si>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</si>
  <si>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</si>
  <si>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</si>
  <si>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</si>
  <si>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</si>
  <si>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</si>
  <si>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</si>
  <si>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</si>
  <si>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</si>
  <si>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</si>
  <si>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</si>
  <si>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</si>
  <si>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</si>
  <si>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</si>
  <si>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</si>
  <si>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</si>
  <si>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</si>
  <si>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</si>
  <si>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</si>
  <si>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</si>
  <si>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</si>
  <si>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</si>
  <si>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</si>
  <si>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</si>
  <si>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</si>
  <si>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</si>
  <si>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</si>
  <si>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</si>
  <si>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</si>
  <si>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</si>
  <si>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</si>
  <si>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</si>
  <si>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</si>
  <si>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</si>
  <si>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</si>
  <si>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</si>
  <si>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</si>
  <si>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</si>
  <si>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</si>
  <si>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</si>
  <si>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</si>
  <si>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</si>
  <si>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</si>
  <si>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</si>
  <si>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</si>
  <si>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</si>
  <si>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</si>
  <si>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</si>
  <si>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</si>
  <si>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</si>
  <si>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</si>
  <si>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</si>
  <si>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</si>
  <si>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</si>
  <si>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</si>
  <si>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</si>
  <si>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</si>
  <si>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</si>
  <si>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</si>
  <si>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</si>
  <si>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</si>
  <si>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</si>
  <si>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</si>
  <si>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</si>
  <si>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</si>
  <si>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</si>
  <si>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</si>
  <si>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</si>
  <si>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</si>
  <si>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</si>
  <si>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</si>
  <si>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</si>
  <si>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</si>
  <si>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</si>
  <si>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</si>
  <si>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</si>
  <si>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</si>
  <si>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</si>
  <si>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</si>
  <si>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</si>
  <si>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</si>
  <si>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</si>
  <si>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</si>
  <si>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</si>
  <si>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</si>
  <si>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</si>
  <si>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</si>
  <si>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</si>
  <si>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</si>
  <si>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</si>
  <si>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</si>
  <si>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</si>
  <si>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</si>
  <si>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</si>
  <si>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</si>
  <si>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</si>
  <si>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</si>
  <si>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</si>
  <si>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</si>
  <si>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</si>
  <si>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</si>
  <si>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</si>
  <si>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</si>
  <si>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</si>
  <si>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</si>
  <si>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</si>
  <si>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</si>
  <si>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</si>
  <si>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</si>
  <si>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</si>
  <si>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</si>
  <si>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</si>
  <si>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</si>
  <si>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</si>
  <si>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</si>
  <si>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</si>
  <si>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</si>
  <si>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</si>
  <si>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</si>
  <si>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</si>
  <si>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</si>
  <si>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</si>
  <si>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</si>
  <si>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</si>
  <si>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</si>
  <si>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</si>
  <si>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</si>
  <si>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</si>
  <si>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</si>
  <si>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</si>
  <si>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</si>
  <si>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</si>
  <si>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</si>
  <si>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</si>
  <si>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</si>
  <si>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</si>
  <si>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</si>
  <si>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</si>
  <si>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</si>
  <si>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</si>
  <si>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</si>
  <si>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</si>
  <si>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</si>
  <si>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</si>
  <si>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</si>
  <si>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</si>
  <si>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</si>
  <si>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</si>
  <si>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</si>
  <si>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</si>
  <si>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</si>
  <si>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</si>
  <si>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</si>
  <si>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</si>
  <si>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</si>
  <si>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</si>
  <si>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</si>
  <si>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</si>
  <si>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</si>
  <si>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</si>
  <si>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</si>
  <si>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</si>
  <si>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</si>
  <si>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</si>
  <si>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</si>
  <si>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</si>
  <si>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</si>
  <si>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</si>
  <si>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</si>
  <si>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</si>
  <si>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</si>
  <si>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</si>
  <si>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</si>
  <si>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</si>
  <si>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</si>
  <si>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</si>
  <si>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</si>
  <si>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</si>
  <si>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</si>
  <si>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</si>
  <si>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</si>
  <si>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</si>
  <si>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</si>
  <si>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</si>
  <si>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</si>
  <si>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</si>
  <si>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</si>
  <si>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</si>
  <si>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</si>
  <si>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</si>
  <si>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</si>
  <si>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</si>
  <si>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</si>
  <si>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</si>
  <si>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</si>
  <si>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</si>
  <si>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</si>
  <si>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</si>
  <si>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</si>
  <si>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</si>
  <si>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</si>
  <si>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</si>
  <si>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</si>
  <si>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</si>
  <si>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</si>
  <si>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</si>
  <si>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</si>
  <si>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</si>
  <si>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</si>
  <si>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</si>
  <si>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</si>
  <si>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</si>
  <si>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</si>
  <si>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</si>
  <si>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</si>
  <si>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</si>
  <si>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</si>
  <si>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</si>
  <si>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</si>
  <si>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</si>
  <si>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</si>
  <si>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</si>
  <si>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</si>
  <si>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</si>
  <si>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</si>
  <si>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</si>
  <si>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</si>
  <si>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</si>
  <si>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</si>
  <si>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</si>
  <si>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</si>
  <si>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</si>
  <si>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</si>
  <si>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</si>
  <si>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</si>
  <si>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</si>
  <si>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</si>
  <si>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</si>
  <si>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</si>
  <si>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</si>
  <si>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</si>
  <si>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</si>
  <si>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</si>
  <si>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</si>
  <si>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</si>
  <si>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</si>
  <si>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</si>
  <si>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</si>
  <si>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</si>
  <si>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</si>
  <si>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</si>
  <si>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</si>
  <si>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</si>
  <si>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</si>
  <si>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</si>
  <si>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</si>
  <si>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</si>
  <si>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</si>
  <si>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</si>
  <si>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</si>
  <si>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</si>
  <si>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</si>
  <si>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</si>
  <si>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</si>
  <si>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</si>
  <si>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</si>
  <si>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</si>
  <si>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</si>
  <si>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</si>
  <si>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</si>
  <si>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</si>
  <si>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</si>
  <si>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</si>
  <si>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</si>
  <si>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</si>
  <si>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</si>
  <si>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</si>
  <si>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</si>
  <si>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</si>
  <si>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</si>
  <si>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</si>
  <si>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</si>
  <si>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</si>
  <si>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</si>
  <si>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</si>
  <si>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</si>
  <si>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</si>
  <si>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</si>
  <si>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</si>
  <si>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</si>
  <si>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</si>
  <si>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</si>
  <si>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</si>
  <si>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</si>
  <si>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</si>
  <si>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</si>
  <si>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</si>
  <si>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</si>
  <si>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</si>
  <si>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</si>
  <si>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</si>
  <si>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</si>
  <si>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</si>
  <si>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</si>
  <si>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</si>
  <si>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</si>
  <si>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</si>
  <si>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</si>
  <si>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</si>
  <si>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</si>
  <si>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</si>
  <si>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</si>
  <si>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</si>
  <si>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</si>
  <si>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</si>
  <si>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</si>
  <si>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</si>
  <si>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</si>
  <si>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</si>
  <si>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</si>
  <si>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</si>
  <si>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</si>
  <si>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</si>
  <si>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</si>
  <si>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</si>
  <si>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</si>
  <si>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</si>
  <si>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</si>
  <si>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</si>
  <si>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</si>
  <si>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</si>
  <si>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</si>
  <si>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</si>
  <si>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</si>
  <si>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</si>
  <si>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</si>
  <si>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</si>
  <si>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</si>
  <si>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</si>
  <si>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</si>
  <si>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</si>
  <si>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</si>
  <si>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</si>
  <si>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</si>
  <si>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</si>
  <si>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</si>
  <si>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</si>
  <si>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</si>
  <si>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</si>
  <si>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</si>
  <si>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</si>
  <si>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</si>
  <si>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</si>
  <si>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</si>
  <si>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</si>
  <si>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</si>
  <si>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</si>
  <si>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</si>
  <si>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</si>
  <si>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</si>
  <si>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</si>
  <si>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</si>
  <si>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</si>
  <si>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</si>
  <si>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</si>
  <si>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</si>
  <si>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</si>
  <si>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</si>
  <si>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</si>
  <si>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</si>
  <si>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</si>
  <si>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</si>
  <si>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</si>
  <si>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</si>
  <si>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</si>
  <si>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</si>
  <si>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</si>
  <si>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</si>
  <si>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</si>
  <si>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</si>
  <si>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</si>
  <si>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</si>
  <si>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</si>
  <si>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</si>
  <si>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</si>
  <si>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</si>
  <si>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</si>
  <si>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</si>
  <si>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</si>
  <si>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</si>
  <si>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</si>
  <si>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</si>
  <si>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</si>
  <si>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</si>
  <si>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</si>
  <si>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</si>
  <si>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</si>
  <si>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</si>
  <si>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</si>
  <si>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</si>
  <si>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</si>
  <si>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</si>
  <si>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</si>
  <si>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</si>
  <si>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</si>
  <si>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</si>
  <si>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</si>
  <si>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</si>
  <si>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</si>
  <si>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</si>
  <si>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</si>
  <si>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</si>
  <si>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</si>
  <si>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</si>
  <si>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</si>
  <si>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</si>
  <si>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</si>
  <si>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</si>
  <si>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</si>
  <si>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</si>
  <si>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</si>
  <si>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</si>
  <si>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</si>
  <si>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</si>
  <si>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</si>
  <si>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</si>
  <si>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</si>
  <si>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</si>
  <si>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</si>
  <si>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</si>
  <si>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</si>
  <si>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</si>
  <si>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</si>
  <si>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</si>
  <si>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</si>
  <si>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</si>
  <si>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</si>
  <si>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</si>
  <si>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</si>
  <si>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</si>
  <si>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</si>
  <si>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</si>
  <si>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</si>
  <si>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</si>
  <si>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</si>
  <si>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</si>
  <si>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</si>
  <si>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</si>
  <si>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</si>
  <si>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</si>
  <si>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</si>
  <si>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</si>
  <si>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</si>
  <si>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</si>
  <si>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</si>
  <si>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</si>
  <si>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</si>
  <si>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</si>
  <si>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</si>
  <si>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</si>
  <si>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</si>
  <si>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</si>
  <si>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</si>
  <si>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</si>
  <si>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</si>
  <si>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</si>
  <si>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</si>
  <si>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</si>
  <si>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</si>
  <si>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</si>
  <si>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</si>
  <si>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</si>
  <si>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</si>
  <si>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</si>
  <si>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</si>
  <si>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</si>
  <si>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</si>
  <si>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</si>
  <si>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</si>
  <si>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</si>
  <si>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</si>
  <si>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</si>
  <si>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</si>
  <si>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</si>
  <si>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</si>
  <si>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</si>
  <si>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</si>
  <si>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</si>
  <si>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</si>
  <si>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</si>
  <si>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</si>
  <si>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</si>
  <si>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</si>
  <si>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</si>
  <si>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</si>
  <si>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</si>
  <si>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</si>
  <si>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</si>
  <si>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</si>
  <si>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</si>
  <si>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</si>
  <si>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</si>
  <si>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</si>
  <si>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</si>
  <si>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</si>
  <si>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</si>
  <si>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</si>
  <si>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</si>
  <si>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</si>
  <si>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</si>
  <si>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</si>
  <si>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</si>
  <si>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</si>
  <si>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</si>
  <si>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</si>
  <si>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</si>
  <si>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</si>
  <si>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</si>
  <si>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</si>
  <si>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</si>
  <si>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</si>
  <si>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</si>
  <si>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</si>
  <si>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</si>
  <si>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</si>
  <si>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</si>
  <si>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</si>
  <si>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</si>
  <si>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</si>
  <si>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</si>
  <si>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</si>
  <si>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</si>
  <si>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</si>
  <si>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</si>
  <si>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</si>
  <si>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</si>
  <si>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</si>
  <si>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</si>
  <si>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</si>
  <si>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</si>
  <si>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</si>
  <si>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</si>
  <si>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</si>
  <si>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</si>
  <si>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</si>
  <si>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</si>
  <si>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</si>
  <si>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</si>
  <si>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</si>
  <si>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</si>
  <si>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</si>
  <si>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</si>
  <si>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</si>
  <si>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</si>
  <si>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</si>
  <si>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</si>
  <si>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</si>
  <si>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</si>
  <si>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</si>
  <si>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</si>
  <si>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</si>
  <si>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</si>
  <si>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</si>
  <si>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</si>
  <si>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</si>
  <si>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</si>
  <si>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</si>
  <si>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</si>
  <si>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</si>
  <si>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</si>
  <si>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</si>
  <si>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</si>
  <si>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</si>
  <si>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</si>
  <si>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</si>
  <si>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</si>
  <si>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</si>
  <si>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</si>
  <si>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</si>
  <si>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</si>
  <si>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</si>
  <si>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</si>
  <si>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</si>
  <si>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</si>
  <si>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</si>
  <si>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</si>
  <si>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</si>
  <si>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</si>
  <si>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</si>
  <si>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</si>
  <si>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</si>
  <si>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</si>
  <si>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</si>
  <si>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</si>
  <si>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</si>
  <si>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</si>
  <si>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</si>
  <si>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</si>
  <si>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</si>
  <si>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</si>
  <si>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</si>
  <si>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</si>
  <si>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</si>
  <si>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</si>
  <si>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</si>
  <si>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</si>
  <si>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</si>
  <si>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</si>
  <si>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</si>
  <si>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</si>
  <si>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</si>
  <si>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</si>
  <si>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</si>
  <si>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</si>
  <si>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</si>
  <si>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</si>
  <si>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</si>
  <si>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</si>
  <si>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</si>
  <si>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</si>
  <si>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</si>
  <si>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</si>
  <si>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</si>
  <si>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</si>
  <si>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</si>
  <si>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</si>
  <si>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</si>
  <si>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</si>
  <si>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</si>
  <si>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</si>
  <si>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</si>
  <si>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</si>
  <si>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</si>
  <si>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</si>
  <si>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</si>
  <si>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</si>
  <si>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</si>
  <si>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</si>
  <si>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</si>
  <si>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</si>
  <si>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</si>
  <si>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</si>
  <si>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</si>
  <si>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</si>
  <si>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</si>
  <si>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</si>
  <si>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</si>
  <si>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</si>
  <si>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</si>
  <si>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</si>
  <si>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</si>
  <si>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</si>
  <si>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</si>
  <si>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</si>
  <si>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</si>
  <si>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</si>
  <si>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</si>
  <si>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</si>
  <si>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</si>
  <si>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</si>
  <si>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</si>
  <si>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</si>
  <si>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</si>
  <si>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</si>
  <si>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</si>
  <si>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</si>
  <si>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</si>
  <si>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</si>
  <si>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</si>
  <si>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</si>
  <si>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</si>
  <si>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</si>
  <si>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</si>
  <si>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</si>
  <si>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</si>
  <si>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</si>
  <si>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</si>
  <si>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</si>
  <si>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</si>
  <si>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</si>
  <si>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</si>
  <si>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</si>
  <si>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</si>
  <si>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</si>
  <si>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</si>
  <si>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</si>
  <si>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</si>
  <si>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</si>
  <si>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</si>
  <si>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</si>
  <si>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</si>
  <si>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</si>
  <si>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</si>
  <si>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</si>
  <si>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</si>
  <si>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</si>
  <si>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</si>
  <si>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</si>
  <si>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</si>
  <si>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</si>
  <si>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</si>
  <si>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</si>
  <si>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</si>
  <si>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</si>
  <si>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</si>
  <si>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</si>
  <si>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</si>
  <si>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</si>
  <si>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</si>
  <si>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</si>
  <si>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</si>
  <si>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</si>
  <si>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</si>
  <si>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</si>
  <si>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</si>
  <si>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</si>
  <si>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</si>
  <si>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</si>
  <si>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</si>
  <si>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</si>
  <si>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</si>
  <si>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</si>
  <si>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</si>
  <si>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</si>
  <si>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</si>
  <si>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</si>
  <si>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</si>
  <si>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</si>
  <si>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</si>
  <si>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</si>
  <si>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</si>
  <si>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</si>
  <si>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</si>
  <si>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</si>
  <si>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</si>
  <si>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</si>
  <si>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</si>
  <si>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</si>
  <si>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</si>
  <si>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</si>
  <si>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</si>
  <si>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</si>
  <si>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</si>
  <si>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</si>
  <si>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</si>
  <si>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</si>
  <si>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</si>
  <si>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</si>
  <si>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</si>
  <si>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</si>
  <si>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</si>
  <si>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</si>
  <si>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</si>
  <si>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</si>
  <si>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</si>
  <si>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</si>
  <si>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</si>
  <si>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</si>
  <si>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</si>
  <si>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</si>
  <si>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</si>
  <si>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</si>
  <si>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</si>
  <si>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</si>
  <si>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</si>
  <si>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</si>
  <si>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</si>
  <si>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</si>
  <si>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</si>
  <si>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</si>
  <si>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</si>
  <si>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</si>
  <si>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</si>
  <si>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</si>
  <si>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</si>
  <si>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</si>
  <si>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</si>
  <si>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</si>
  <si>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</si>
  <si>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</si>
  <si>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</si>
  <si>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</si>
  <si>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</si>
  <si>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</si>
  <si>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</si>
  <si>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</si>
  <si>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</si>
  <si>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</si>
  <si>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</si>
  <si>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</si>
  <si>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</si>
  <si>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</si>
  <si>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</si>
  <si>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</si>
  <si>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</si>
  <si>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</si>
  <si>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</si>
  <si>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</si>
  <si>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</si>
  <si>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</si>
  <si>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</si>
  <si>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</si>
  <si>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</si>
  <si>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</si>
  <si>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</si>
  <si>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</si>
  <si>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</si>
  <si>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</si>
  <si>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</si>
  <si>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</si>
  <si>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</si>
  <si>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</si>
  <si>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</si>
  <si>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</si>
  <si>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</si>
  <si>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</si>
  <si>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</si>
  <si>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</si>
  <si>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</si>
  <si>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</si>
  <si>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</si>
  <si>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</si>
  <si>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</si>
  <si>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</si>
  <si>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</si>
  <si>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</si>
  <si>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</si>
  <si>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</si>
  <si>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</si>
  <si>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</si>
  <si>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</si>
  <si>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</si>
  <si>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</si>
  <si>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</si>
  <si>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</si>
  <si>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</si>
  <si>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</si>
  <si>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</si>
  <si>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</si>
  <si>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</si>
  <si>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</si>
  <si>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</si>
  <si>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</si>
  <si>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</si>
  <si>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</si>
  <si>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</si>
  <si>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</si>
  <si>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</si>
  <si>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</si>
  <si>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</si>
  <si>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</si>
  <si>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</si>
  <si>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</si>
  <si>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</si>
  <si>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</si>
  <si>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</si>
  <si>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</si>
  <si>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</si>
  <si>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</si>
  <si>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</si>
  <si>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</si>
  <si>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</si>
  <si>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</si>
  <si>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</si>
  <si>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</si>
  <si>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</si>
  <si>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</si>
  <si>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</si>
  <si>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</si>
  <si>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</si>
  <si>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</si>
  <si>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</si>
  <si>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</si>
  <si>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</si>
  <si>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</si>
  <si>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</si>
  <si>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</si>
  <si>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</si>
  <si>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</si>
  <si>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</si>
  <si>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</si>
  <si>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</si>
  <si>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</si>
  <si>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</si>
  <si>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</si>
  <si>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</si>
  <si>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</si>
  <si>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</si>
  <si>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</si>
  <si>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</si>
  <si>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</si>
  <si>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</si>
  <si>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</si>
  <si>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</si>
  <si>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</si>
  <si>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</si>
  <si>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</si>
  <si>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</si>
  <si>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</si>
  <si>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</si>
  <si>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</si>
  <si>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</si>
  <si>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</si>
  <si>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</si>
  <si>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</si>
  <si>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</si>
  <si>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</si>
  <si>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</si>
  <si>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</si>
  <si>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</si>
  <si>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</si>
  <si>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</si>
  <si>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</si>
  <si>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</si>
  <si>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</si>
  <si>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</si>
  <si>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</si>
  <si>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</si>
  <si>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</si>
  <si>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</si>
  <si>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</si>
  <si>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</si>
  <si>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</si>
  <si>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</si>
  <si>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</si>
  <si>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</si>
  <si>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</si>
  <si>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</si>
  <si>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</si>
  <si>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</si>
  <si>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</si>
  <si>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</si>
  <si>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</si>
  <si>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</si>
  <si>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</si>
  <si>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</si>
  <si>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</si>
  <si>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</si>
  <si>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</si>
  <si>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</si>
  <si>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</si>
  <si>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</si>
  <si>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</si>
  <si>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</si>
  <si>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</si>
  <si>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</si>
  <si>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</si>
  <si>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</si>
  <si>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</si>
  <si>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</si>
  <si>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</si>
  <si>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</si>
  <si>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</si>
  <si>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</si>
  <si>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</si>
  <si>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</si>
  <si>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</si>
  <si>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</si>
  <si>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</si>
  <si>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</si>
  <si>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</si>
  <si>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</si>
  <si>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</si>
  <si>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</si>
  <si>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</si>
  <si>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</si>
  <si>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</si>
  <si>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</si>
  <si>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</si>
  <si>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</si>
  <si>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</si>
  <si>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</si>
  <si>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</si>
  <si>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</si>
  <si>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</si>
  <si>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</si>
  <si>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</si>
  <si>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</si>
  <si>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</si>
  <si>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</si>
  <si>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</si>
  <si>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</si>
  <si>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</si>
  <si>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</si>
  <si>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</si>
  <si>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</si>
  <si>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</si>
  <si>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</si>
  <si>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</si>
  <si>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</si>
  <si>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</si>
  <si>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</si>
  <si>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</si>
  <si>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</si>
  <si>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</si>
  <si>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</si>
  <si>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</si>
  <si>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</si>
  <si>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</si>
  <si>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</si>
  <si>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</si>
  <si>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</si>
  <si>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</si>
  <si>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</si>
  <si>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</si>
  <si>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</si>
  <si>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</si>
  <si>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</si>
  <si>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</si>
  <si>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</si>
  <si>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</si>
  <si>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</si>
  <si>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</si>
  <si>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</si>
  <si>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</si>
  <si>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</si>
  <si>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</si>
  <si>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</si>
  <si>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</si>
  <si>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</si>
  <si>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</si>
  <si>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</si>
  <si>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</si>
  <si>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</si>
  <si>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</si>
  <si>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</si>
  <si>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</si>
  <si>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</si>
  <si>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</si>
  <si>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</si>
  <si>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</si>
  <si>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</si>
  <si>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</si>
  <si>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</si>
  <si>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</si>
  <si>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</si>
  <si>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</si>
  <si>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</si>
  <si>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</si>
  <si>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</si>
  <si>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</si>
  <si>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</si>
  <si>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</si>
  <si>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</si>
  <si>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</si>
  <si>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</si>
  <si>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</si>
  <si>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</si>
  <si>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</si>
  <si>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</si>
  <si>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</si>
  <si>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</si>
  <si>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</si>
  <si>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</si>
  <si>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</si>
  <si>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</si>
  <si>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</si>
  <si>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</si>
  <si>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</si>
  <si>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</si>
  <si>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</si>
  <si>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</si>
  <si>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</si>
  <si>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</si>
  <si>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</si>
  <si>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</si>
  <si>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</si>
  <si>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</si>
  <si>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</si>
  <si>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</si>
  <si>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</si>
  <si>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</si>
  <si>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</si>
  <si>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</si>
  <si>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</si>
  <si>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</si>
  <si>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</si>
  <si>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</si>
  <si>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</si>
  <si>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</si>
  <si>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</si>
  <si>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</si>
  <si>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</si>
  <si>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</si>
  <si>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</si>
  <si>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</si>
  <si>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</si>
  <si>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</si>
  <si>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</si>
  <si>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</si>
  <si>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</si>
  <si>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</si>
  <si>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</si>
  <si>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</si>
  <si>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</si>
  <si>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</si>
  <si>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</si>
  <si>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</si>
  <si>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</si>
  <si>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</si>
  <si>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</si>
  <si>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</si>
  <si>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</si>
  <si>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</si>
  <si>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</si>
  <si>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</si>
  <si>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</si>
  <si>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</si>
  <si>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</si>
  <si>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</si>
  <si>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</si>
  <si>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</si>
  <si>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</si>
  <si>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</si>
  <si>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</si>
  <si>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</si>
  <si>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</si>
  <si>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</si>
  <si>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</si>
  <si>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</si>
  <si>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</si>
  <si>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</si>
  <si>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</si>
  <si>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</si>
  <si>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</si>
  <si>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</si>
  <si>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</si>
  <si>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</si>
  <si>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</si>
  <si>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</si>
  <si>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</si>
  <si>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</si>
  <si>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</si>
  <si>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</si>
  <si>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</si>
  <si>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</si>
  <si>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</si>
  <si>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</si>
  <si>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</si>
  <si>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</si>
  <si>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</si>
  <si>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</si>
  <si>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</si>
  <si>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</si>
  <si>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</si>
  <si>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</si>
  <si>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</si>
  <si>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</si>
  <si>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</si>
  <si>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</si>
  <si>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</si>
  <si>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</si>
  <si>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</si>
  <si>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</si>
  <si>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</si>
  <si>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</si>
  <si>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</si>
  <si>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</si>
  <si>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</si>
  <si>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</si>
  <si>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</si>
  <si>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</si>
  <si>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</si>
  <si>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</si>
  <si>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</si>
  <si>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</si>
  <si>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</si>
  <si>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</si>
  <si>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</si>
  <si>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</si>
  <si>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</si>
  <si>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</si>
  <si>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</si>
  <si>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</si>
  <si>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</si>
  <si>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</si>
  <si>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</si>
  <si>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</si>
  <si>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</si>
  <si>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</si>
  <si>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</si>
  <si>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</si>
  <si>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</si>
  <si>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</si>
  <si>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</si>
  <si>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</si>
  <si>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</si>
  <si>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</si>
  <si>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</si>
  <si>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</si>
  <si>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</si>
  <si>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</si>
  <si>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</si>
  <si>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</si>
  <si>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</si>
  <si>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</si>
  <si>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</si>
  <si>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</si>
  <si>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</si>
  <si>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</si>
  <si>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</si>
  <si>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</si>
  <si>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</si>
  <si>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</si>
  <si>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</si>
  <si>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</si>
  <si>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</si>
  <si>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</si>
  <si>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</si>
  <si>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</si>
  <si>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</si>
  <si>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</si>
  <si>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</si>
  <si>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</si>
  <si>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</si>
  <si>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</si>
  <si>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</si>
  <si>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</si>
  <si>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</si>
  <si>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</si>
  <si>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</si>
  <si>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</si>
  <si>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</si>
  <si>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</si>
  <si>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</si>
  <si>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</si>
  <si>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</si>
  <si>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</si>
  <si>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</si>
  <si>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</si>
  <si>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</si>
  <si>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</si>
  <si>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</si>
  <si>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</si>
  <si>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</si>
  <si>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</si>
  <si>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</si>
  <si>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</si>
  <si>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</si>
  <si>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</si>
  <si>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</si>
  <si>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</si>
  <si>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</si>
  <si>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不临58条商业街</t>
  </si>
  <si>
    <t>好</t>
  </si>
  <si>
    <t>与级别开发程度一致</t>
  </si>
  <si>
    <t>砖混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</si>
  <si>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</si>
  <si>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</si>
  <si>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</si>
  <si>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</si>
  <si>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</si>
  <si>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</si>
  <si>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</si>
  <si>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</si>
  <si>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市区</t>
  </si>
  <si>
    <t>1000米以外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</si>
</sst>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1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Font="1" applyFill="1" applyBorder="1" applyAlignment="1" applyProtection="1">
      <alignment horizontal="center" vertical="center" wrapText="1"/>
      <protection locked="0"/>
    </xf>
    <xf numFmtId="0" fontId="90" fillId="9" borderId="1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173</v>
      </c>
    </row>
    <row r="3" spans="1:7">
      <c r="A3" s="163" t="s">
        <v>161</v>
      </c>
      <c r="B3" s="164" t="s">
        <v>162</v>
      </c>
      <c r="G3" s="165"/>
    </row>
    <row r="4" spans="1:7">
      <c r="G4" s="165"/>
    </row>
    <row r="5" spans="1:7">
      <c r="A5" s="167" t="s">
        <v>157</v>
      </c>
      <c r="B5" s="164" t="s">
        <v>163</v>
      </c>
      <c r="G5" s="165"/>
    </row>
    <row r="6" spans="1:7">
      <c r="G6" s="165"/>
    </row>
    <row r="7" spans="1:7">
      <c r="A7" s="168" t="s">
        <v>248</v>
      </c>
      <c r="B7" s="164" t="s">
        <v>164</v>
      </c>
      <c r="G7" s="165"/>
    </row>
    <row r="8" spans="1:7">
      <c r="G8" s="165"/>
    </row>
    <row r="9" spans="1:7">
      <c r="A9" s="169" t="s">
        <v>158</v>
      </c>
      <c r="B9" s="164" t="s">
        <v>165</v>
      </c>
    </row>
    <row r="11" spans="1:7">
      <c r="A11" s="170" t="s">
        <v>159</v>
      </c>
      <c r="B11" s="171" t="s">
        <v>156</v>
      </c>
    </row>
    <row r="13" spans="1:7">
      <c r="A13" s="172" t="s">
        <v>166</v>
      </c>
    </row>
    <row r="15" spans="1:7" ht="13.5">
      <c r="A15" s="1659" t="s">
        <v>167</v>
      </c>
      <c r="B15" s="606" t="s">
        <v>249</v>
      </c>
    </row>
    <row r="16" spans="1:7" ht="13.5">
      <c r="A16" s="1660"/>
      <c r="B16" s="607" t="s">
        <v>168</v>
      </c>
    </row>
    <row r="17" spans="1:2" ht="13.5">
      <c r="A17" s="173" t="s">
        <v>169</v>
      </c>
      <c r="B17" s="608"/>
    </row>
    <row r="18" spans="1:2" ht="13.5">
      <c r="A18" s="1658" t="s">
        <v>170</v>
      </c>
      <c r="B18" s="606" t="s">
        <v>1385</v>
      </c>
    </row>
    <row r="19" spans="1:2" ht="13.5">
      <c r="A19" s="1658"/>
      <c r="B19" s="606" t="s">
        <v>1386</v>
      </c>
    </row>
    <row r="20" spans="1:2" ht="13.5">
      <c r="A20" s="1658"/>
      <c r="B20" s="606" t="s">
        <v>1387</v>
      </c>
    </row>
    <row r="21" spans="1:2" ht="13.5">
      <c r="A21" s="1658"/>
      <c r="B21" s="463" t="s">
        <v>171</v>
      </c>
    </row>
    <row r="22" spans="1:2" ht="13.5">
      <c r="A22" s="1658"/>
      <c r="B22" s="463" t="s">
        <v>172</v>
      </c>
    </row>
    <row r="23" spans="1:2">
      <c r="A23" s="174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684</v>
      </c>
      <c r="B1" s="251" t="s">
        <v>288</v>
      </c>
      <c r="C1" s="251" t="s">
        <v>289</v>
      </c>
      <c r="D1" s="251" t="s">
        <v>290</v>
      </c>
      <c r="E1" s="251" t="s">
        <v>291</v>
      </c>
      <c r="F1" s="251" t="s">
        <v>292</v>
      </c>
      <c r="G1" s="251" t="s">
        <v>293</v>
      </c>
      <c r="H1" s="251" t="s">
        <v>294</v>
      </c>
      <c r="I1" s="251" t="s">
        <v>295</v>
      </c>
      <c r="J1" s="251" t="s">
        <v>296</v>
      </c>
      <c r="K1" s="251" t="s">
        <v>297</v>
      </c>
      <c r="L1" s="251" t="s">
        <v>298</v>
      </c>
      <c r="M1" s="252" t="s">
        <v>299</v>
      </c>
    </row>
    <row r="2" spans="1:13" ht="19.5" customHeight="1">
      <c r="A2" s="285" t="s">
        <v>314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1300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1301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315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685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686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687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688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689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690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691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692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693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1753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694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695</v>
      </c>
      <c r="B17" s="306" t="s">
        <v>696</v>
      </c>
      <c r="C17" s="306" t="s">
        <v>966</v>
      </c>
      <c r="D17" s="307"/>
      <c r="E17" s="232" t="s">
        <v>697</v>
      </c>
      <c r="F17" s="308"/>
      <c r="G17" s="308"/>
    </row>
    <row r="18" spans="1:7" ht="19.5" customHeight="1">
      <c r="A18" s="1708" t="s">
        <v>314</v>
      </c>
      <c r="B18" s="309" t="s">
        <v>698</v>
      </c>
      <c r="C18" s="310" t="s">
        <v>699</v>
      </c>
      <c r="D18" s="311"/>
      <c r="E18" s="309">
        <v>1</v>
      </c>
      <c r="F18" s="312" t="s">
        <v>700</v>
      </c>
      <c r="G18" s="313"/>
    </row>
    <row r="19" spans="1:7" ht="19.5" customHeight="1">
      <c r="A19" s="1708"/>
      <c r="B19" s="1708" t="s">
        <v>701</v>
      </c>
      <c r="C19" s="310" t="s">
        <v>702</v>
      </c>
      <c r="D19" s="311"/>
      <c r="E19" s="309">
        <v>0.9</v>
      </c>
      <c r="F19" s="312" t="s">
        <v>703</v>
      </c>
      <c r="G19" s="313"/>
    </row>
    <row r="20" spans="1:7" ht="19.5" customHeight="1">
      <c r="A20" s="1708"/>
      <c r="B20" s="1708"/>
      <c r="C20" s="310" t="s">
        <v>704</v>
      </c>
      <c r="D20" s="311"/>
      <c r="E20" s="309">
        <v>1.1000000000000001</v>
      </c>
      <c r="F20" s="312" t="s">
        <v>705</v>
      </c>
      <c r="G20" s="313"/>
    </row>
    <row r="21" spans="1:7" ht="19.5" customHeight="1">
      <c r="A21" s="1708"/>
      <c r="B21" s="1708"/>
      <c r="C21" s="310" t="s">
        <v>706</v>
      </c>
      <c r="D21" s="311"/>
      <c r="E21" s="309">
        <v>0.8</v>
      </c>
      <c r="F21" s="312" t="s">
        <v>707</v>
      </c>
      <c r="G21" s="313"/>
    </row>
    <row r="22" spans="1:7" ht="19.5" customHeight="1">
      <c r="A22" s="1708"/>
      <c r="B22" s="1708"/>
      <c r="C22" s="310" t="s">
        <v>708</v>
      </c>
      <c r="D22" s="311"/>
      <c r="E22" s="309">
        <v>0.5</v>
      </c>
      <c r="F22" s="312"/>
      <c r="G22" s="313"/>
    </row>
    <row r="23" spans="1:7" ht="19.5" customHeight="1">
      <c r="A23" s="1708" t="s">
        <v>1300</v>
      </c>
      <c r="B23" s="309" t="s">
        <v>698</v>
      </c>
      <c r="C23" s="310" t="s">
        <v>709</v>
      </c>
      <c r="D23" s="311"/>
      <c r="E23" s="309">
        <v>1</v>
      </c>
      <c r="F23" s="312" t="s">
        <v>710</v>
      </c>
      <c r="G23" s="313"/>
    </row>
    <row r="24" spans="1:7" ht="19.5" customHeight="1">
      <c r="A24" s="1708"/>
      <c r="B24" s="1708" t="s">
        <v>701</v>
      </c>
      <c r="C24" s="310" t="s">
        <v>711</v>
      </c>
      <c r="D24" s="311"/>
      <c r="E24" s="309">
        <v>0.5</v>
      </c>
      <c r="F24" s="312"/>
      <c r="G24" s="313"/>
    </row>
    <row r="25" spans="1:7" ht="19.5" customHeight="1">
      <c r="A25" s="1708"/>
      <c r="B25" s="1708"/>
      <c r="C25" s="310" t="s">
        <v>712</v>
      </c>
      <c r="D25" s="311"/>
      <c r="E25" s="309">
        <v>1.1000000000000001</v>
      </c>
      <c r="F25" s="312"/>
      <c r="G25" s="313"/>
    </row>
    <row r="26" spans="1:7" ht="19.5" customHeight="1">
      <c r="A26" s="1708"/>
      <c r="B26" s="1708"/>
      <c r="C26" s="310" t="s">
        <v>713</v>
      </c>
      <c r="D26" s="311"/>
      <c r="E26" s="309">
        <v>1.1000000000000001</v>
      </c>
      <c r="F26" s="312"/>
      <c r="G26" s="313"/>
    </row>
    <row r="27" spans="1:7" ht="19.5" customHeight="1">
      <c r="A27" s="1708"/>
      <c r="B27" s="1708"/>
      <c r="C27" s="310" t="s">
        <v>714</v>
      </c>
      <c r="D27" s="311"/>
      <c r="E27" s="309">
        <v>0.9</v>
      </c>
      <c r="F27" s="312" t="s">
        <v>715</v>
      </c>
      <c r="G27" s="313"/>
    </row>
    <row r="28" spans="1:7" ht="19.5" customHeight="1">
      <c r="A28" s="1708"/>
      <c r="B28" s="1708"/>
      <c r="C28" s="310" t="s">
        <v>716</v>
      </c>
      <c r="D28" s="311"/>
      <c r="E28" s="309">
        <v>0.9</v>
      </c>
      <c r="F28" s="312" t="s">
        <v>717</v>
      </c>
      <c r="G28" s="313"/>
    </row>
    <row r="29" spans="1:7" ht="19.5" customHeight="1">
      <c r="A29" s="1708"/>
      <c r="B29" s="1708"/>
      <c r="C29" s="310" t="s">
        <v>718</v>
      </c>
      <c r="D29" s="311"/>
      <c r="E29" s="309">
        <v>0.9</v>
      </c>
      <c r="F29" s="312" t="s">
        <v>719</v>
      </c>
      <c r="G29" s="313"/>
    </row>
    <row r="30" spans="1:7" ht="19.5" customHeight="1">
      <c r="A30" s="1708"/>
      <c r="B30" s="1708"/>
      <c r="C30" s="310" t="s">
        <v>720</v>
      </c>
      <c r="D30" s="311"/>
      <c r="E30" s="309">
        <v>0.9</v>
      </c>
      <c r="F30" s="312" t="s">
        <v>721</v>
      </c>
      <c r="G30" s="313"/>
    </row>
    <row r="31" spans="1:7" ht="19.5" customHeight="1">
      <c r="A31" s="1708"/>
      <c r="B31" s="1708"/>
      <c r="C31" s="310" t="s">
        <v>722</v>
      </c>
      <c r="D31" s="311"/>
      <c r="E31" s="309">
        <v>0.8</v>
      </c>
      <c r="F31" s="312" t="s">
        <v>723</v>
      </c>
      <c r="G31" s="313"/>
    </row>
    <row r="32" spans="1:7" ht="19.5" customHeight="1">
      <c r="A32" s="1708"/>
      <c r="B32" s="1708"/>
      <c r="C32" s="310" t="s">
        <v>724</v>
      </c>
      <c r="D32" s="311"/>
      <c r="E32" s="309">
        <v>0.8</v>
      </c>
      <c r="F32" s="312" t="s">
        <v>725</v>
      </c>
      <c r="G32" s="313"/>
    </row>
    <row r="33" spans="1:8" ht="19.5" customHeight="1">
      <c r="A33" s="1708" t="s">
        <v>1299</v>
      </c>
      <c r="B33" s="309" t="s">
        <v>698</v>
      </c>
      <c r="C33" s="310" t="s">
        <v>726</v>
      </c>
      <c r="D33" s="311"/>
      <c r="E33" s="309">
        <v>1</v>
      </c>
      <c r="F33" s="312" t="s">
        <v>727</v>
      </c>
      <c r="G33" s="313"/>
    </row>
    <row r="34" spans="1:8" ht="19.5" customHeight="1">
      <c r="A34" s="1708"/>
      <c r="B34" s="309" t="s">
        <v>701</v>
      </c>
      <c r="C34" s="310" t="s">
        <v>728</v>
      </c>
      <c r="D34" s="311"/>
      <c r="E34" s="309">
        <v>1.5</v>
      </c>
      <c r="F34" s="312" t="s">
        <v>729</v>
      </c>
      <c r="G34" s="313"/>
    </row>
    <row r="35" spans="1:8" ht="19.5" customHeight="1">
      <c r="A35" s="1708" t="s">
        <v>315</v>
      </c>
      <c r="B35" s="309" t="s">
        <v>698</v>
      </c>
      <c r="C35" s="310" t="s">
        <v>730</v>
      </c>
      <c r="D35" s="311"/>
      <c r="E35" s="309">
        <v>1</v>
      </c>
      <c r="F35" s="312" t="s">
        <v>731</v>
      </c>
      <c r="G35" s="313"/>
    </row>
    <row r="36" spans="1:8" ht="19.5" customHeight="1">
      <c r="A36" s="1708"/>
      <c r="B36" s="1708" t="s">
        <v>701</v>
      </c>
      <c r="C36" s="310" t="s">
        <v>732</v>
      </c>
      <c r="D36" s="311"/>
      <c r="E36" s="309">
        <v>1</v>
      </c>
      <c r="F36" s="312" t="s">
        <v>733</v>
      </c>
      <c r="G36" s="313"/>
    </row>
    <row r="37" spans="1:8" ht="19.5" customHeight="1">
      <c r="A37" s="1708"/>
      <c r="B37" s="1708"/>
      <c r="C37" s="310" t="s">
        <v>734</v>
      </c>
      <c r="D37" s="311"/>
      <c r="E37" s="309">
        <v>1.5</v>
      </c>
      <c r="F37" s="312" t="s">
        <v>735</v>
      </c>
      <c r="G37" s="313"/>
    </row>
    <row r="38" spans="1:8" ht="19.5" customHeight="1">
      <c r="A38" s="1708"/>
      <c r="B38" s="1708"/>
      <c r="C38" s="310" t="s">
        <v>736</v>
      </c>
      <c r="D38" s="311"/>
      <c r="E38" s="309">
        <v>1</v>
      </c>
      <c r="F38" s="312" t="s">
        <v>737</v>
      </c>
      <c r="G38" s="313"/>
    </row>
    <row r="39" spans="1:8" ht="19.5" customHeight="1">
      <c r="A39" s="1708"/>
      <c r="B39" s="1708"/>
      <c r="C39" s="310" t="s">
        <v>738</v>
      </c>
      <c r="D39" s="311"/>
      <c r="E39" s="309">
        <v>1</v>
      </c>
      <c r="F39" s="312" t="s">
        <v>739</v>
      </c>
      <c r="G39" s="313"/>
    </row>
    <row r="40" spans="1:8" ht="19.5" customHeight="1">
      <c r="A40" s="314" t="s">
        <v>740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741</v>
      </c>
      <c r="C42" s="232" t="s">
        <v>741</v>
      </c>
      <c r="D42" s="232" t="s">
        <v>741</v>
      </c>
      <c r="E42" s="240" t="s">
        <v>741</v>
      </c>
      <c r="F42" s="240" t="s">
        <v>741</v>
      </c>
      <c r="G42" s="240" t="s">
        <v>742</v>
      </c>
      <c r="H42" s="240" t="s">
        <v>741</v>
      </c>
    </row>
    <row r="43" spans="1:8" ht="19.5" customHeight="1">
      <c r="A43" s="317"/>
      <c r="B43" s="240" t="s">
        <v>314</v>
      </c>
      <c r="C43" s="240" t="s">
        <v>314</v>
      </c>
      <c r="D43" s="240" t="s">
        <v>314</v>
      </c>
      <c r="E43" s="240" t="s">
        <v>314</v>
      </c>
      <c r="F43" s="232" t="s">
        <v>1302</v>
      </c>
      <c r="G43" s="232" t="s">
        <v>315</v>
      </c>
      <c r="H43" s="232" t="s">
        <v>743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744</v>
      </c>
      <c r="G44" s="307" t="s">
        <v>744</v>
      </c>
      <c r="H44" s="307" t="s">
        <v>744</v>
      </c>
    </row>
    <row r="45" spans="1:8" ht="19.5" customHeight="1">
      <c r="A45" s="319" t="s">
        <v>288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289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290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291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292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293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294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295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296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297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298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299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745</v>
      </c>
      <c r="E58" s="303"/>
      <c r="F58" s="303"/>
    </row>
    <row r="59" spans="1:8" s="305" customFormat="1" ht="19.5" customHeight="1">
      <c r="A59" s="309" t="s">
        <v>746</v>
      </c>
      <c r="B59" s="309" t="s">
        <v>747</v>
      </c>
      <c r="C59" s="309" t="s">
        <v>748</v>
      </c>
      <c r="D59" s="309" t="s">
        <v>749</v>
      </c>
      <c r="E59" s="309" t="s">
        <v>750</v>
      </c>
      <c r="F59" s="309" t="s">
        <v>751</v>
      </c>
    </row>
    <row r="60" spans="1:8" ht="13.5">
      <c r="A60" s="309"/>
      <c r="B60" s="309"/>
      <c r="C60" s="309" t="s">
        <v>883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708" t="s">
        <v>752</v>
      </c>
      <c r="C61" s="232" t="s">
        <v>753</v>
      </c>
      <c r="D61" s="232" t="s">
        <v>754</v>
      </c>
      <c r="E61" s="320">
        <v>0.5</v>
      </c>
      <c r="F61" s="309">
        <v>80</v>
      </c>
    </row>
    <row r="62" spans="1:8" s="305" customFormat="1" ht="24">
      <c r="A62" s="309">
        <v>2</v>
      </c>
      <c r="B62" s="1708"/>
      <c r="C62" s="232" t="s">
        <v>755</v>
      </c>
      <c r="D62" s="232" t="s">
        <v>756</v>
      </c>
      <c r="E62" s="320">
        <v>0.5</v>
      </c>
      <c r="F62" s="309">
        <v>80</v>
      </c>
    </row>
    <row r="63" spans="1:8" s="305" customFormat="1" ht="36">
      <c r="A63" s="309">
        <v>3</v>
      </c>
      <c r="B63" s="1708"/>
      <c r="C63" s="232" t="s">
        <v>757</v>
      </c>
      <c r="D63" s="232" t="s">
        <v>758</v>
      </c>
      <c r="E63" s="320">
        <v>0.5</v>
      </c>
      <c r="F63" s="309">
        <v>80</v>
      </c>
    </row>
    <row r="64" spans="1:8" s="305" customFormat="1" ht="36">
      <c r="A64" s="309">
        <v>4</v>
      </c>
      <c r="B64" s="1708"/>
      <c r="C64" s="232" t="s">
        <v>759</v>
      </c>
      <c r="D64" s="232" t="s">
        <v>760</v>
      </c>
      <c r="E64" s="320">
        <v>0.4</v>
      </c>
      <c r="F64" s="309">
        <v>60</v>
      </c>
    </row>
    <row r="65" spans="1:6" s="305" customFormat="1" ht="36">
      <c r="A65" s="309">
        <v>5</v>
      </c>
      <c r="B65" s="1708"/>
      <c r="C65" s="232" t="s">
        <v>761</v>
      </c>
      <c r="D65" s="232" t="s">
        <v>762</v>
      </c>
      <c r="E65" s="320">
        <v>0.2</v>
      </c>
      <c r="F65" s="309">
        <v>30</v>
      </c>
    </row>
    <row r="66" spans="1:6" s="305" customFormat="1" ht="36">
      <c r="A66" s="309">
        <v>6</v>
      </c>
      <c r="B66" s="1708"/>
      <c r="C66" s="232" t="s">
        <v>763</v>
      </c>
      <c r="D66" s="232" t="s">
        <v>764</v>
      </c>
      <c r="E66" s="320">
        <v>0.3</v>
      </c>
      <c r="F66" s="309">
        <v>50</v>
      </c>
    </row>
    <row r="67" spans="1:6" s="305" customFormat="1" ht="36">
      <c r="A67" s="309">
        <v>7</v>
      </c>
      <c r="B67" s="1708"/>
      <c r="C67" s="232" t="s">
        <v>765</v>
      </c>
      <c r="D67" s="232" t="s">
        <v>766</v>
      </c>
      <c r="E67" s="320">
        <v>0.2</v>
      </c>
      <c r="F67" s="309">
        <v>30</v>
      </c>
    </row>
    <row r="68" spans="1:6" s="305" customFormat="1" ht="36">
      <c r="A68" s="309">
        <v>8</v>
      </c>
      <c r="B68" s="1708"/>
      <c r="C68" s="232" t="s">
        <v>767</v>
      </c>
      <c r="D68" s="232" t="s">
        <v>768</v>
      </c>
      <c r="E68" s="320">
        <v>0.2</v>
      </c>
      <c r="F68" s="309">
        <v>30</v>
      </c>
    </row>
    <row r="69" spans="1:6" s="305" customFormat="1" ht="36">
      <c r="A69" s="309">
        <v>9</v>
      </c>
      <c r="B69" s="1708"/>
      <c r="C69" s="232" t="s">
        <v>769</v>
      </c>
      <c r="D69" s="232" t="s">
        <v>770</v>
      </c>
      <c r="E69" s="320">
        <v>0.2</v>
      </c>
      <c r="F69" s="309">
        <v>30</v>
      </c>
    </row>
    <row r="70" spans="1:6" s="305" customFormat="1" ht="48">
      <c r="A70" s="309">
        <v>10</v>
      </c>
      <c r="B70" s="1708"/>
      <c r="C70" s="232" t="s">
        <v>771</v>
      </c>
      <c r="D70" s="232" t="s">
        <v>772</v>
      </c>
      <c r="E70" s="320">
        <v>0.2</v>
      </c>
      <c r="F70" s="309">
        <v>30</v>
      </c>
    </row>
    <row r="71" spans="1:6" s="305" customFormat="1" ht="48">
      <c r="A71" s="309">
        <v>11</v>
      </c>
      <c r="B71" s="1708"/>
      <c r="C71" s="232" t="s">
        <v>773</v>
      </c>
      <c r="D71" s="232" t="s">
        <v>774</v>
      </c>
      <c r="E71" s="320">
        <v>0.2</v>
      </c>
      <c r="F71" s="309">
        <v>30</v>
      </c>
    </row>
    <row r="72" spans="1:6" s="305" customFormat="1" ht="36">
      <c r="A72" s="309">
        <v>12</v>
      </c>
      <c r="B72" s="1708"/>
      <c r="C72" s="232" t="s">
        <v>775</v>
      </c>
      <c r="D72" s="232" t="s">
        <v>776</v>
      </c>
      <c r="E72" s="320">
        <v>0.5</v>
      </c>
      <c r="F72" s="309">
        <v>80</v>
      </c>
    </row>
    <row r="73" spans="1:6" s="305" customFormat="1" ht="24">
      <c r="A73" s="309">
        <v>13</v>
      </c>
      <c r="B73" s="1708"/>
      <c r="C73" s="232" t="s">
        <v>777</v>
      </c>
      <c r="D73" s="232" t="s">
        <v>778</v>
      </c>
      <c r="E73" s="320">
        <v>0.4</v>
      </c>
      <c r="F73" s="309">
        <v>60</v>
      </c>
    </row>
    <row r="74" spans="1:6" s="305" customFormat="1" ht="24">
      <c r="A74" s="309">
        <v>14</v>
      </c>
      <c r="B74" s="1708"/>
      <c r="C74" s="232" t="s">
        <v>779</v>
      </c>
      <c r="D74" s="232" t="s">
        <v>780</v>
      </c>
      <c r="E74" s="320">
        <v>0.2</v>
      </c>
      <c r="F74" s="309">
        <v>30</v>
      </c>
    </row>
    <row r="75" spans="1:6" s="305" customFormat="1" ht="24">
      <c r="A75" s="309">
        <v>15</v>
      </c>
      <c r="B75" s="1708"/>
      <c r="C75" s="232" t="s">
        <v>781</v>
      </c>
      <c r="D75" s="232" t="s">
        <v>782</v>
      </c>
      <c r="E75" s="320">
        <v>0.2</v>
      </c>
      <c r="F75" s="309">
        <v>30</v>
      </c>
    </row>
    <row r="76" spans="1:6" s="305" customFormat="1" ht="24">
      <c r="A76" s="309">
        <v>16</v>
      </c>
      <c r="B76" s="1708" t="s">
        <v>783</v>
      </c>
      <c r="C76" s="232" t="s">
        <v>784</v>
      </c>
      <c r="D76" s="232" t="s">
        <v>785</v>
      </c>
      <c r="E76" s="320">
        <v>0.5</v>
      </c>
      <c r="F76" s="309">
        <v>80</v>
      </c>
    </row>
    <row r="77" spans="1:6" s="305" customFormat="1" ht="24">
      <c r="A77" s="309">
        <v>17</v>
      </c>
      <c r="B77" s="1708"/>
      <c r="C77" s="232" t="s">
        <v>786</v>
      </c>
      <c r="D77" s="232" t="s">
        <v>787</v>
      </c>
      <c r="E77" s="320">
        <v>0.5</v>
      </c>
      <c r="F77" s="309">
        <v>80</v>
      </c>
    </row>
    <row r="78" spans="1:6" s="305" customFormat="1" ht="24">
      <c r="A78" s="309">
        <v>18</v>
      </c>
      <c r="B78" s="1708"/>
      <c r="C78" s="232" t="s">
        <v>788</v>
      </c>
      <c r="D78" s="232" t="s">
        <v>789</v>
      </c>
      <c r="E78" s="320">
        <v>0.2</v>
      </c>
      <c r="F78" s="309">
        <v>30</v>
      </c>
    </row>
    <row r="79" spans="1:6" s="305" customFormat="1" ht="24">
      <c r="A79" s="309">
        <v>19</v>
      </c>
      <c r="B79" s="1708"/>
      <c r="C79" s="232" t="s">
        <v>790</v>
      </c>
      <c r="D79" s="232" t="s">
        <v>791</v>
      </c>
      <c r="E79" s="320">
        <v>0.5</v>
      </c>
      <c r="F79" s="309">
        <v>80</v>
      </c>
    </row>
    <row r="80" spans="1:6" s="305" customFormat="1" ht="36">
      <c r="A80" s="309">
        <v>20</v>
      </c>
      <c r="B80" s="1708"/>
      <c r="C80" s="232" t="s">
        <v>792</v>
      </c>
      <c r="D80" s="232" t="s">
        <v>793</v>
      </c>
      <c r="E80" s="320">
        <v>0.2</v>
      </c>
      <c r="F80" s="309">
        <v>30</v>
      </c>
    </row>
    <row r="81" spans="1:6" s="305" customFormat="1" ht="36">
      <c r="A81" s="309">
        <v>21</v>
      </c>
      <c r="B81" s="1708"/>
      <c r="C81" s="232" t="s">
        <v>794</v>
      </c>
      <c r="D81" s="232" t="s">
        <v>795</v>
      </c>
      <c r="E81" s="320">
        <v>0.2</v>
      </c>
      <c r="F81" s="309">
        <v>30</v>
      </c>
    </row>
    <row r="82" spans="1:6" s="305" customFormat="1" ht="48">
      <c r="A82" s="309">
        <v>22</v>
      </c>
      <c r="B82" s="1708"/>
      <c r="C82" s="232" t="s">
        <v>796</v>
      </c>
      <c r="D82" s="232" t="s">
        <v>797</v>
      </c>
      <c r="E82" s="320">
        <v>0.2</v>
      </c>
      <c r="F82" s="309">
        <v>30</v>
      </c>
    </row>
    <row r="83" spans="1:6" s="305" customFormat="1" ht="48">
      <c r="A83" s="309">
        <v>23</v>
      </c>
      <c r="B83" s="1708"/>
      <c r="C83" s="232" t="s">
        <v>798</v>
      </c>
      <c r="D83" s="232" t="s">
        <v>799</v>
      </c>
      <c r="E83" s="320">
        <v>0.2</v>
      </c>
      <c r="F83" s="309">
        <v>30</v>
      </c>
    </row>
    <row r="84" spans="1:6" s="305" customFormat="1" ht="36">
      <c r="A84" s="309">
        <v>24</v>
      </c>
      <c r="B84" s="1708"/>
      <c r="C84" s="232" t="s">
        <v>800</v>
      </c>
      <c r="D84" s="232" t="s">
        <v>801</v>
      </c>
      <c r="E84" s="320">
        <v>0.2</v>
      </c>
      <c r="F84" s="309">
        <v>30</v>
      </c>
    </row>
    <row r="85" spans="1:6" s="305" customFormat="1" ht="36">
      <c r="A85" s="309">
        <v>25</v>
      </c>
      <c r="B85" s="1708"/>
      <c r="C85" s="232" t="s">
        <v>802</v>
      </c>
      <c r="D85" s="232" t="s">
        <v>803</v>
      </c>
      <c r="E85" s="320">
        <v>0.5</v>
      </c>
      <c r="F85" s="309">
        <v>80</v>
      </c>
    </row>
    <row r="86" spans="1:6" s="305" customFormat="1" ht="36">
      <c r="A86" s="309">
        <v>26</v>
      </c>
      <c r="B86" s="1708"/>
      <c r="C86" s="232" t="s">
        <v>804</v>
      </c>
      <c r="D86" s="232" t="s">
        <v>805</v>
      </c>
      <c r="E86" s="320">
        <v>0.2</v>
      </c>
      <c r="F86" s="309">
        <v>30</v>
      </c>
    </row>
    <row r="87" spans="1:6" s="305" customFormat="1" ht="36">
      <c r="A87" s="309">
        <v>27</v>
      </c>
      <c r="B87" s="1708"/>
      <c r="C87" s="232" t="s">
        <v>806</v>
      </c>
      <c r="D87" s="232" t="s">
        <v>807</v>
      </c>
      <c r="E87" s="320">
        <v>0.2</v>
      </c>
      <c r="F87" s="309">
        <v>30</v>
      </c>
    </row>
    <row r="88" spans="1:6" s="305" customFormat="1" ht="36">
      <c r="A88" s="309">
        <v>28</v>
      </c>
      <c r="B88" s="1708"/>
      <c r="C88" s="232" t="s">
        <v>808</v>
      </c>
      <c r="D88" s="232" t="s">
        <v>809</v>
      </c>
      <c r="E88" s="320">
        <v>0.2</v>
      </c>
      <c r="F88" s="309">
        <v>30</v>
      </c>
    </row>
    <row r="89" spans="1:6" s="305" customFormat="1" ht="24">
      <c r="A89" s="309">
        <v>29</v>
      </c>
      <c r="B89" s="1708"/>
      <c r="C89" s="232" t="s">
        <v>810</v>
      </c>
      <c r="D89" s="232" t="s">
        <v>811</v>
      </c>
      <c r="E89" s="320">
        <v>0.2</v>
      </c>
      <c r="F89" s="309">
        <v>30</v>
      </c>
    </row>
    <row r="90" spans="1:6" s="305" customFormat="1" ht="24">
      <c r="A90" s="309">
        <v>30</v>
      </c>
      <c r="B90" s="1708"/>
      <c r="C90" s="232" t="s">
        <v>812</v>
      </c>
      <c r="D90" s="232" t="s">
        <v>813</v>
      </c>
      <c r="E90" s="320">
        <v>0.2</v>
      </c>
      <c r="F90" s="309">
        <v>30</v>
      </c>
    </row>
    <row r="91" spans="1:6" s="305" customFormat="1" ht="36">
      <c r="A91" s="309">
        <v>31</v>
      </c>
      <c r="B91" s="1708"/>
      <c r="C91" s="232" t="s">
        <v>814</v>
      </c>
      <c r="D91" s="232" t="s">
        <v>815</v>
      </c>
      <c r="E91" s="320">
        <v>0.2</v>
      </c>
      <c r="F91" s="309">
        <v>30</v>
      </c>
    </row>
    <row r="92" spans="1:6" s="305" customFormat="1" ht="24">
      <c r="A92" s="309">
        <v>32</v>
      </c>
      <c r="B92" s="1708" t="s">
        <v>816</v>
      </c>
      <c r="C92" s="309" t="s">
        <v>817</v>
      </c>
      <c r="D92" s="232" t="s">
        <v>818</v>
      </c>
      <c r="E92" s="320">
        <v>0.2</v>
      </c>
      <c r="F92" s="309">
        <v>30</v>
      </c>
    </row>
    <row r="93" spans="1:6" s="305" customFormat="1" ht="36">
      <c r="A93" s="309">
        <v>33</v>
      </c>
      <c r="B93" s="1708"/>
      <c r="C93" s="309" t="s">
        <v>819</v>
      </c>
      <c r="D93" s="232" t="s">
        <v>820</v>
      </c>
      <c r="E93" s="320">
        <v>0.2</v>
      </c>
      <c r="F93" s="309">
        <v>30</v>
      </c>
    </row>
    <row r="94" spans="1:6" s="305" customFormat="1" ht="48">
      <c r="A94" s="309">
        <v>34</v>
      </c>
      <c r="B94" s="1708"/>
      <c r="C94" s="309" t="s">
        <v>821</v>
      </c>
      <c r="D94" s="232" t="s">
        <v>822</v>
      </c>
      <c r="E94" s="320">
        <v>0.2</v>
      </c>
      <c r="F94" s="309">
        <v>30</v>
      </c>
    </row>
    <row r="95" spans="1:6" s="305" customFormat="1" ht="36">
      <c r="A95" s="309">
        <v>35</v>
      </c>
      <c r="B95" s="1708"/>
      <c r="C95" s="309" t="s">
        <v>823</v>
      </c>
      <c r="D95" s="232" t="s">
        <v>824</v>
      </c>
      <c r="E95" s="320">
        <v>0.2</v>
      </c>
      <c r="F95" s="309">
        <v>30</v>
      </c>
    </row>
    <row r="96" spans="1:6" s="305" customFormat="1" ht="48">
      <c r="A96" s="309">
        <v>36</v>
      </c>
      <c r="B96" s="1708"/>
      <c r="C96" s="232" t="s">
        <v>825</v>
      </c>
      <c r="D96" s="232" t="s">
        <v>826</v>
      </c>
      <c r="E96" s="320">
        <v>0.2</v>
      </c>
      <c r="F96" s="309">
        <v>30</v>
      </c>
    </row>
    <row r="97" spans="1:6" s="305" customFormat="1" ht="36">
      <c r="A97" s="309">
        <v>37</v>
      </c>
      <c r="B97" s="1708"/>
      <c r="C97" s="309" t="s">
        <v>827</v>
      </c>
      <c r="D97" s="232" t="s">
        <v>828</v>
      </c>
      <c r="E97" s="320">
        <v>0.2</v>
      </c>
      <c r="F97" s="309">
        <v>30</v>
      </c>
    </row>
    <row r="98" spans="1:6" s="305" customFormat="1" ht="36">
      <c r="A98" s="309">
        <v>38</v>
      </c>
      <c r="B98" s="1708"/>
      <c r="C98" s="309" t="s">
        <v>829</v>
      </c>
      <c r="D98" s="232" t="s">
        <v>830</v>
      </c>
      <c r="E98" s="320">
        <v>0.2</v>
      </c>
      <c r="F98" s="309">
        <v>30</v>
      </c>
    </row>
    <row r="99" spans="1:6" s="305" customFormat="1" ht="36">
      <c r="A99" s="309">
        <v>39</v>
      </c>
      <c r="B99" s="1708" t="s">
        <v>831</v>
      </c>
      <c r="C99" s="309" t="s">
        <v>832</v>
      </c>
      <c r="D99" s="232" t="s">
        <v>833</v>
      </c>
      <c r="E99" s="320">
        <v>0.3</v>
      </c>
      <c r="F99" s="309">
        <v>50</v>
      </c>
    </row>
    <row r="100" spans="1:6" s="305" customFormat="1" ht="24">
      <c r="A100" s="309">
        <v>40</v>
      </c>
      <c r="B100" s="1708"/>
      <c r="C100" s="309" t="s">
        <v>834</v>
      </c>
      <c r="D100" s="232" t="s">
        <v>835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8"/>
      <c r="C101" s="309" t="s">
        <v>836</v>
      </c>
      <c r="D101" s="232" t="s">
        <v>833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837</v>
      </c>
      <c r="C102" s="232" t="s">
        <v>838</v>
      </c>
      <c r="D102" s="232" t="s">
        <v>839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840</v>
      </c>
      <c r="C103" s="309" t="s">
        <v>841</v>
      </c>
      <c r="D103" s="232" t="s">
        <v>842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843</v>
      </c>
      <c r="C104" s="309" t="s">
        <v>844</v>
      </c>
      <c r="D104" s="232" t="s">
        <v>845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708" t="s">
        <v>846</v>
      </c>
      <c r="C105" s="309" t="s">
        <v>847</v>
      </c>
      <c r="D105" s="232" t="s">
        <v>848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708"/>
      <c r="C106" s="309" t="s">
        <v>849</v>
      </c>
      <c r="D106" s="232" t="s">
        <v>850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8" t="s">
        <v>851</v>
      </c>
      <c r="C107" s="309" t="s">
        <v>852</v>
      </c>
      <c r="D107" s="232" t="s">
        <v>853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708"/>
      <c r="C108" s="309" t="s">
        <v>854</v>
      </c>
      <c r="D108" s="232" t="s">
        <v>855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856</v>
      </c>
      <c r="C109" s="309" t="s">
        <v>857</v>
      </c>
      <c r="D109" s="232" t="s">
        <v>858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859</v>
      </c>
      <c r="C110" s="309" t="s">
        <v>860</v>
      </c>
      <c r="D110" s="232" t="s">
        <v>861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708" t="s">
        <v>862</v>
      </c>
      <c r="C111" s="309" t="s">
        <v>863</v>
      </c>
      <c r="D111" s="232" t="s">
        <v>864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708"/>
      <c r="C112" s="309" t="s">
        <v>865</v>
      </c>
      <c r="D112" s="232" t="s">
        <v>866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708"/>
      <c r="C113" s="309" t="s">
        <v>867</v>
      </c>
      <c r="D113" s="232" t="s">
        <v>868</v>
      </c>
      <c r="E113" s="320">
        <v>0.2</v>
      </c>
      <c r="F113" s="309">
        <v>30</v>
      </c>
    </row>
    <row r="114" spans="1:6" ht="36">
      <c r="A114" s="309">
        <v>54</v>
      </c>
      <c r="B114" s="309" t="s">
        <v>869</v>
      </c>
      <c r="C114" s="309" t="s">
        <v>870</v>
      </c>
      <c r="D114" s="232" t="s">
        <v>871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872</v>
      </c>
      <c r="C115" s="309" t="s">
        <v>873</v>
      </c>
      <c r="D115" s="232" t="s">
        <v>874</v>
      </c>
      <c r="E115" s="320">
        <v>0.2</v>
      </c>
      <c r="F115" s="309">
        <v>30</v>
      </c>
    </row>
    <row r="116" spans="1:6" ht="24">
      <c r="A116" s="309">
        <v>56</v>
      </c>
      <c r="B116" s="1708" t="s">
        <v>875</v>
      </c>
      <c r="C116" s="309" t="s">
        <v>876</v>
      </c>
      <c r="D116" s="232" t="s">
        <v>877</v>
      </c>
      <c r="E116" s="320">
        <v>0.2</v>
      </c>
      <c r="F116" s="309">
        <v>30</v>
      </c>
    </row>
    <row r="117" spans="1:6" ht="36">
      <c r="A117" s="309">
        <v>57</v>
      </c>
      <c r="B117" s="1708"/>
      <c r="C117" s="309" t="s">
        <v>878</v>
      </c>
      <c r="D117" s="232" t="s">
        <v>879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880</v>
      </c>
      <c r="C118" s="309" t="s">
        <v>881</v>
      </c>
      <c r="D118" s="232" t="s">
        <v>882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883</v>
      </c>
      <c r="D119" s="309"/>
      <c r="E119" s="320" t="s">
        <v>693</v>
      </c>
      <c r="F119" s="309" t="s">
        <v>693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884</v>
      </c>
      <c r="B2" s="327" t="s">
        <v>288</v>
      </c>
      <c r="C2" s="327" t="s">
        <v>289</v>
      </c>
      <c r="D2" s="327" t="s">
        <v>290</v>
      </c>
      <c r="E2" s="327" t="s">
        <v>291</v>
      </c>
      <c r="F2" s="327" t="s">
        <v>292</v>
      </c>
      <c r="G2" s="327" t="s">
        <v>293</v>
      </c>
      <c r="H2" s="328" t="s">
        <v>294</v>
      </c>
      <c r="I2" s="328" t="s">
        <v>295</v>
      </c>
      <c r="J2" s="329" t="s">
        <v>296</v>
      </c>
      <c r="K2" s="329" t="s">
        <v>297</v>
      </c>
      <c r="L2" s="329" t="s">
        <v>298</v>
      </c>
      <c r="M2" s="329" t="s">
        <v>299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886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884</v>
      </c>
      <c r="B104" s="327" t="s">
        <v>288</v>
      </c>
      <c r="C104" s="327" t="s">
        <v>289</v>
      </c>
      <c r="D104" s="327" t="s">
        <v>290</v>
      </c>
      <c r="E104" s="327" t="s">
        <v>291</v>
      </c>
      <c r="F104" s="327" t="s">
        <v>292</v>
      </c>
      <c r="G104" s="327" t="s">
        <v>293</v>
      </c>
      <c r="H104" s="328" t="s">
        <v>294</v>
      </c>
      <c r="I104" s="328" t="s">
        <v>295</v>
      </c>
      <c r="J104" s="329" t="s">
        <v>296</v>
      </c>
      <c r="K104" s="329" t="s">
        <v>297</v>
      </c>
      <c r="L104" s="329" t="s">
        <v>298</v>
      </c>
      <c r="M104" s="329" t="s">
        <v>299</v>
      </c>
      <c r="N104" s="325">
        <f>SUMPRODUCT((A105:A204=ROUNDDOWN('2014基准地价'!G3,1))*(B104:M104='2014基准地价'!G2)*(B105:M204))</f>
        <v>1.2786999999999999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887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884</v>
      </c>
      <c r="B206" s="327" t="s">
        <v>288</v>
      </c>
      <c r="C206" s="327" t="s">
        <v>289</v>
      </c>
      <c r="D206" s="327" t="s">
        <v>290</v>
      </c>
      <c r="E206" s="327" t="s">
        <v>291</v>
      </c>
      <c r="F206" s="327" t="s">
        <v>292</v>
      </c>
      <c r="G206" s="327" t="s">
        <v>293</v>
      </c>
      <c r="H206" s="328" t="s">
        <v>294</v>
      </c>
      <c r="I206" s="328" t="s">
        <v>295</v>
      </c>
      <c r="J206" s="329" t="s">
        <v>296</v>
      </c>
      <c r="K206" s="329" t="s">
        <v>297</v>
      </c>
      <c r="L206" s="329" t="s">
        <v>298</v>
      </c>
      <c r="M206" s="329" t="s">
        <v>299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888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884</v>
      </c>
      <c r="B308" s="327" t="s">
        <v>288</v>
      </c>
      <c r="C308" s="327" t="s">
        <v>289</v>
      </c>
      <c r="D308" s="327" t="s">
        <v>290</v>
      </c>
      <c r="E308" s="327" t="s">
        <v>291</v>
      </c>
      <c r="F308" s="327" t="s">
        <v>292</v>
      </c>
      <c r="G308" s="327" t="s">
        <v>293</v>
      </c>
      <c r="H308" s="328" t="s">
        <v>294</v>
      </c>
      <c r="I308" s="328" t="s">
        <v>295</v>
      </c>
      <c r="J308" s="329" t="s">
        <v>296</v>
      </c>
      <c r="K308" s="329" t="s">
        <v>297</v>
      </c>
      <c r="L308" s="329" t="s">
        <v>298</v>
      </c>
      <c r="M308" s="329" t="s">
        <v>299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E28" sqref="E28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1386</v>
      </c>
      <c r="B1" s="662"/>
      <c r="C1" s="663"/>
      <c r="D1" s="663"/>
      <c r="E1" s="663"/>
      <c r="F1" s="663"/>
      <c r="G1" s="664" t="s">
        <v>1176</v>
      </c>
      <c r="H1" s="473">
        <f>主表!B7</f>
        <v>97.27</v>
      </c>
      <c r="I1" s="664" t="s">
        <v>1339</v>
      </c>
      <c r="J1" s="473">
        <f>主表!B6</f>
        <v>0</v>
      </c>
      <c r="AE1" s="669"/>
      <c r="AF1" s="669"/>
    </row>
    <row r="2" spans="1:36" ht="24">
      <c r="A2" s="625" t="s">
        <v>908</v>
      </c>
      <c r="B2" s="575" t="s">
        <v>1554</v>
      </c>
      <c r="C2" s="670" t="s">
        <v>979</v>
      </c>
      <c r="D2" s="671" t="s">
        <v>982</v>
      </c>
      <c r="E2" s="672" t="str">
        <f>主表!B12</f>
        <v>住宅/居住</v>
      </c>
      <c r="F2" s="671" t="s">
        <v>684</v>
      </c>
      <c r="G2" s="673" t="str">
        <f>主表!B10</f>
        <v>七级</v>
      </c>
      <c r="H2" s="672" t="s">
        <v>1349</v>
      </c>
      <c r="I2" s="1232" t="s">
        <v>1791</v>
      </c>
      <c r="J2" s="663"/>
      <c r="AE2" s="669"/>
      <c r="AF2" s="669"/>
    </row>
    <row r="3" spans="1:36" ht="24">
      <c r="A3" s="626" t="s">
        <v>911</v>
      </c>
      <c r="B3" s="1317">
        <f>C18</f>
        <v>0</v>
      </c>
      <c r="C3" s="670" t="s">
        <v>912</v>
      </c>
      <c r="D3" s="671" t="s">
        <v>252</v>
      </c>
      <c r="E3" s="674" t="s">
        <v>1789</v>
      </c>
      <c r="F3" s="1376" t="s">
        <v>1792</v>
      </c>
      <c r="G3" s="197">
        <v>2</v>
      </c>
      <c r="H3" s="675" t="s">
        <v>925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1563</v>
      </c>
      <c r="B4" s="575">
        <f>C20</f>
        <v>0</v>
      </c>
      <c r="C4" s="1316" t="s">
        <v>1565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5" thickBot="1">
      <c r="A5" s="664" t="s">
        <v>1564</v>
      </c>
      <c r="B5" s="1315">
        <f>C22</f>
        <v>0</v>
      </c>
      <c r="C5" s="1318" t="s">
        <v>1566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4.25">
      <c r="A6" s="676" t="s">
        <v>913</v>
      </c>
      <c r="B6" s="677" t="s">
        <v>1332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1333</v>
      </c>
      <c r="C7" s="965">
        <f>IF(I2="地上",'2002地价表'!M1,ROUND('2002地价表'!M1/3,0))</f>
        <v>855</v>
      </c>
      <c r="D7" s="687" t="s">
        <v>1529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1334</v>
      </c>
      <c r="C8" s="1655">
        <f>(100+220)/2</f>
        <v>160</v>
      </c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5"/>
      <c r="F8" s="694" t="s">
        <v>1340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3" t="s">
        <v>927</v>
      </c>
      <c r="B9" s="1425" t="s">
        <v>930</v>
      </c>
      <c r="C9" s="1426">
        <f>IF(OR(H9&gt;=DATE(2014,8,28),H9&lt;DATE(2002,12,10)),0,ROUND(I9/F9,4))</f>
        <v>0</v>
      </c>
      <c r="D9" s="1427" t="s">
        <v>260</v>
      </c>
      <c r="E9" s="1428">
        <v>37257</v>
      </c>
      <c r="F9" s="1429">
        <f>ROUND(SUMIF(地价!B3:F3,E2,地价!B86:F86),0)</f>
        <v>104</v>
      </c>
      <c r="G9" s="1430" t="s">
        <v>261</v>
      </c>
      <c r="H9" s="1431">
        <f>主表!B4</f>
        <v>42139</v>
      </c>
      <c r="I9" s="1432">
        <f>ROUND(SUMPRODUCT((地价!A36:A86=YEAR(H9)&amp;"-"&amp;ROUNDUP(MONTH(H9)/3,0))*(地价!B3:F3=E2)*(地价!B36:F86)),0)</f>
        <v>0</v>
      </c>
      <c r="J9" s="725"/>
      <c r="AE9" s="669"/>
      <c r="AF9" s="669"/>
    </row>
    <row r="10" spans="1:36" ht="24.75" thickBot="1">
      <c r="A10" s="1433" t="s">
        <v>929</v>
      </c>
      <c r="B10" s="1434" t="s">
        <v>198</v>
      </c>
      <c r="C10" s="1435">
        <f>ROUND(POWER(1+E10,H10-G10)*(POWER(1+E10,G10)-1)/(POWER(1+E10,H10)-1),4)</f>
        <v>1</v>
      </c>
      <c r="D10" s="1396" t="s">
        <v>934</v>
      </c>
      <c r="E10" s="1397">
        <v>0.04</v>
      </c>
      <c r="F10" s="1436" t="s">
        <v>1793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">
      <c r="A11" s="701" t="s">
        <v>931</v>
      </c>
      <c r="B11" s="702" t="s">
        <v>936</v>
      </c>
      <c r="C11" s="1233">
        <f>IF(E2="工业",1,IF(G3&gt;10,D14,IF(D11="郊区",D13,D12)))</f>
        <v>1</v>
      </c>
      <c r="D11" s="1403" t="s">
        <v>1808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1347</v>
      </c>
      <c r="C12" s="580" t="s">
        <v>1487</v>
      </c>
      <c r="D12" s="1392">
        <f>IF(E12=G12,F12,IF(G3&lt;=10,ROUND(F12+(H12-F12)*(G3-E12)/(G12-E12),4),"——"))</f>
        <v>1</v>
      </c>
      <c r="E12" s="1394">
        <f>ROUNDDOWN(G3,1)</f>
        <v>2</v>
      </c>
      <c r="F12" s="1395">
        <f>IF(G3&lt;=10,SUMPRODUCT(('2002容积率修正'!A3:A102=E12)*('2002容积率修正'!B2:D2=E2)*('2002容积率修正'!B3:D102)),"——")</f>
        <v>1</v>
      </c>
      <c r="G12" s="1393">
        <f>ROUNDUP(G3,1)</f>
        <v>2</v>
      </c>
      <c r="H12" s="580">
        <f>IF(G3&lt;=10,SUMPRODUCT(('2002容积率修正'!A3:A102=G12)*('2002容积率修正'!B2:D2=E2)*('2002容积率修正'!B3:D102)),"——")</f>
        <v>1</v>
      </c>
      <c r="I12" s="627"/>
      <c r="J12" s="705"/>
      <c r="AE12" s="669"/>
      <c r="AF12" s="669"/>
    </row>
    <row r="13" spans="1:36" ht="15">
      <c r="A13" s="644"/>
      <c r="B13" s="704" t="s">
        <v>1348</v>
      </c>
      <c r="C13" s="580" t="s">
        <v>1487</v>
      </c>
      <c r="D13" s="1392">
        <f>IF(E12=G12,F12,IF(G3&lt;=10,ROUND(F12+(H12-F12)*(G3-E12)/(G12-E12),4),"——"))</f>
        <v>1</v>
      </c>
      <c r="E13" s="1394">
        <f>ROUNDDOWN(G3,1)</f>
        <v>2</v>
      </c>
      <c r="F13" s="1395">
        <f>IF(G3&lt;=10,SUMPRODUCT(('2002容积率修正'!A3:A102=E13)*('2002容积率修正'!E2:G2=E2)*('2002容积率修正'!E3:G102)),"——")</f>
        <v>0.85</v>
      </c>
      <c r="G13" s="1393">
        <f>ROUNDUP(G3,1)</f>
        <v>2</v>
      </c>
      <c r="H13" s="580">
        <f>IF(G3&lt;=10,SUMPRODUCT(('2002容积率修正'!A3:A102=G13)*('2002容积率修正'!E2:G2=E2)*('2002容积率修正'!E3:G102)),"——")</f>
        <v>0.85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279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935</v>
      </c>
      <c r="B15" s="698" t="s">
        <v>939</v>
      </c>
      <c r="C15" s="579">
        <f>SUMIF(A40:A76,E2,B40:B76)</f>
        <v>1.0935999999999999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3" t="s">
        <v>1322</v>
      </c>
      <c r="B16" s="1434" t="s">
        <v>1331</v>
      </c>
      <c r="C16" s="1439">
        <v>1</v>
      </c>
      <c r="D16" s="1440" t="s">
        <v>1335</v>
      </c>
      <c r="E16" s="1398" t="s">
        <v>924</v>
      </c>
      <c r="F16" s="1399" t="s">
        <v>1794</v>
      </c>
      <c r="G16" s="1441" t="s">
        <v>926</v>
      </c>
      <c r="H16" s="1442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940</v>
      </c>
      <c r="B17" s="714" t="s">
        <v>941</v>
      </c>
      <c r="C17" s="894" t="s">
        <v>1488</v>
      </c>
      <c r="D17" s="715" t="s">
        <v>1338</v>
      </c>
      <c r="E17" s="716" t="s">
        <v>954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8" t="s">
        <v>1336</v>
      </c>
      <c r="B18" s="717" t="s">
        <v>1323</v>
      </c>
      <c r="C18" s="588">
        <f>ROUND(C7*C9*C10*C11*C15*C16,0)</f>
        <v>0</v>
      </c>
      <c r="D18" s="589">
        <f>H1</f>
        <v>97.27</v>
      </c>
      <c r="E18" s="590">
        <f>ROUND(C18*D18,0)</f>
        <v>0</v>
      </c>
      <c r="F18" s="718" t="s">
        <v>1327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9"/>
      <c r="B19" s="722" t="s">
        <v>1326</v>
      </c>
      <c r="C19" s="580">
        <f>ROUND(C7*C9*C10*C11*C15*C16*G3,0)</f>
        <v>0</v>
      </c>
      <c r="D19" s="589">
        <f>J1</f>
        <v>0</v>
      </c>
      <c r="E19" s="590">
        <f>ROUND(C19*D19,0)</f>
        <v>0</v>
      </c>
      <c r="F19" s="723" t="s">
        <v>1328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20" t="s">
        <v>1337</v>
      </c>
      <c r="B20" s="704" t="s">
        <v>1324</v>
      </c>
      <c r="C20" s="594">
        <f>ROUND(IF(G3&gt;=I3,C8*C9*C10*C15,C8*C9*C10*C15*G3),0)</f>
        <v>0</v>
      </c>
      <c r="D20" s="595">
        <f>H1</f>
        <v>97.27</v>
      </c>
      <c r="E20" s="596">
        <f>ROUND(C20*D20,0)</f>
        <v>0</v>
      </c>
      <c r="F20" s="724" t="s">
        <v>1329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20"/>
      <c r="B21" s="726" t="s">
        <v>1325</v>
      </c>
      <c r="C21" s="597">
        <f>ROUND(IF(G3&lt;I3,C8*C9*C10*C15,C8*C9*C10*C15*G3),0)</f>
        <v>0</v>
      </c>
      <c r="D21" s="598">
        <f>J1</f>
        <v>0</v>
      </c>
      <c r="E21" s="599">
        <f t="shared" ref="E21" si="0">ROUND(C21*D21,0)</f>
        <v>0</v>
      </c>
      <c r="F21" s="727" t="s">
        <v>1330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4" t="s">
        <v>1346</v>
      </c>
      <c r="B22" s="730"/>
      <c r="C22" s="1479">
        <f>ROUND(IF(D22="四环路内",C20*0.4,C20*0.6),0)</f>
        <v>0</v>
      </c>
      <c r="D22" s="731"/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967</v>
      </c>
      <c r="B24" s="356">
        <f>ROUNDDOWN(1+DATEDIF(E9,H9,"M")/3,0)</f>
        <v>54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262</v>
      </c>
      <c r="B25" s="1304" t="s">
        <v>1489</v>
      </c>
      <c r="C25" s="1375" t="s">
        <v>267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276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1341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1342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889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890</v>
      </c>
      <c r="B41" s="232" t="s">
        <v>891</v>
      </c>
      <c r="C41" s="232" t="s">
        <v>892</v>
      </c>
      <c r="D41" s="232" t="s">
        <v>1453</v>
      </c>
      <c r="E41" s="747" t="s">
        <v>1454</v>
      </c>
      <c r="F41" s="748" t="s">
        <v>1455</v>
      </c>
      <c r="G41" s="748" t="s">
        <v>1456</v>
      </c>
      <c r="H41" s="748" t="s">
        <v>1457</v>
      </c>
      <c r="I41" s="748" t="s">
        <v>1458</v>
      </c>
      <c r="J41" s="748" t="s">
        <v>1459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893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896</v>
      </c>
      <c r="B45" s="1451" t="s">
        <v>1733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897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898</v>
      </c>
      <c r="B47" s="1452" t="s">
        <v>1734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900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1303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890</v>
      </c>
      <c r="B50" s="232"/>
      <c r="C50" s="232" t="s">
        <v>892</v>
      </c>
      <c r="D50" s="233" t="s">
        <v>1490</v>
      </c>
      <c r="E50" s="234" t="s">
        <v>1491</v>
      </c>
      <c r="F50" s="17" t="s">
        <v>1492</v>
      </c>
      <c r="G50" s="17" t="s">
        <v>1493</v>
      </c>
      <c r="H50" s="17" t="s">
        <v>1494</v>
      </c>
      <c r="I50" s="17" t="s">
        <v>1495</v>
      </c>
      <c r="J50" s="17" t="s">
        <v>1496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902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896</v>
      </c>
      <c r="B54" s="1451" t="s">
        <v>1733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897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898</v>
      </c>
      <c r="B56" s="1452" t="s">
        <v>1734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1313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1304</v>
      </c>
      <c r="B58" s="453">
        <f>1+E60</f>
        <v>1.0935999999999999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890</v>
      </c>
      <c r="B59" s="232"/>
      <c r="C59" s="232" t="s">
        <v>892</v>
      </c>
      <c r="D59" s="233" t="s">
        <v>1497</v>
      </c>
      <c r="E59" s="234" t="s">
        <v>1498</v>
      </c>
      <c r="F59" s="17" t="s">
        <v>1499</v>
      </c>
      <c r="G59" s="17" t="s">
        <v>1500</v>
      </c>
      <c r="H59" s="17" t="s">
        <v>1501</v>
      </c>
      <c r="I59" s="17" t="s">
        <v>1502</v>
      </c>
      <c r="J59" s="17" t="s">
        <v>1503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1795</v>
      </c>
      <c r="D60" s="456">
        <f t="shared" ref="D60:D67" si="7">SUMIF($F$59:$J$59,C60,F60:J60)</f>
        <v>1.2999999999999999E-2</v>
      </c>
      <c r="E60" s="237">
        <f>SUM(D60:D67)</f>
        <v>9.3599999999999989E-2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1795</v>
      </c>
      <c r="D61" s="456">
        <f t="shared" si="7"/>
        <v>2.5999999999999999E-2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1795</v>
      </c>
      <c r="D62" s="456">
        <f t="shared" si="7"/>
        <v>1.2999999999999999E-2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904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898</v>
      </c>
      <c r="B64" s="1452" t="s">
        <v>1734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1313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1795</v>
      </c>
      <c r="D65" s="456">
        <f t="shared" si="7"/>
        <v>1.5599999999999999E-2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901</v>
      </c>
      <c r="B66" s="235" t="str">
        <f>估价对象房地状况!C8</f>
        <v>区域自然环境：；人文环境；综合评价环境状况一般</v>
      </c>
      <c r="C66" s="749" t="s">
        <v>1795</v>
      </c>
      <c r="D66" s="456">
        <f t="shared" si="7"/>
        <v>2.5999999999999999E-2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1314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225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890</v>
      </c>
      <c r="B69" s="232"/>
      <c r="C69" s="232" t="s">
        <v>892</v>
      </c>
      <c r="D69" s="233" t="s">
        <v>1497</v>
      </c>
      <c r="E69" s="234" t="s">
        <v>1498</v>
      </c>
      <c r="F69" s="17" t="s">
        <v>1499</v>
      </c>
      <c r="G69" s="17" t="s">
        <v>1500</v>
      </c>
      <c r="H69" s="17" t="s">
        <v>1501</v>
      </c>
      <c r="I69" s="17" t="s">
        <v>1502</v>
      </c>
      <c r="J69" s="17" t="s">
        <v>1503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27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904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898</v>
      </c>
      <c r="B74" s="1452" t="s">
        <v>1734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900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907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1464</v>
      </c>
      <c r="B80" s="543">
        <f>G3</f>
        <v>2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1465</v>
      </c>
      <c r="B81" s="233">
        <f>SUMIF(A82:A85,E2,B82:B85)</f>
        <v>0.97419999999999995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0.81740000000000002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1303</v>
      </c>
      <c r="B83" s="233">
        <f>ROUND(1.007-0.0278*B80,4)</f>
        <v>0.95140000000000002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1305</v>
      </c>
      <c r="B84" s="233">
        <f>ROUND(1.018-0.0219*B80,4)</f>
        <v>0.97419999999999995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1306</v>
      </c>
      <c r="B85" s="544">
        <f>ROUND(0.7275-0.01*B80,4)</f>
        <v>0.70750000000000002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684</v>
      </c>
      <c r="B88" s="755" t="s">
        <v>288</v>
      </c>
      <c r="C88" s="755" t="s">
        <v>32</v>
      </c>
      <c r="D88" s="755" t="s">
        <v>290</v>
      </c>
      <c r="E88" s="755" t="s">
        <v>29</v>
      </c>
      <c r="F88" s="755" t="s">
        <v>30</v>
      </c>
      <c r="G88" s="755" t="s">
        <v>31</v>
      </c>
      <c r="H88" s="755" t="s">
        <v>294</v>
      </c>
      <c r="I88" s="755" t="s">
        <v>295</v>
      </c>
      <c r="J88" s="755" t="s">
        <v>296</v>
      </c>
      <c r="K88" s="755" t="s">
        <v>297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1300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1301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225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1294</v>
      </c>
      <c r="B2" s="532" t="s">
        <v>1290</v>
      </c>
      <c r="C2" s="533"/>
      <c r="D2" s="534" t="s">
        <v>1291</v>
      </c>
      <c r="E2" s="534"/>
      <c r="F2" s="535" t="s">
        <v>1292</v>
      </c>
      <c r="G2" s="534"/>
      <c r="H2" s="535" t="s">
        <v>1293</v>
      </c>
      <c r="I2" s="534"/>
      <c r="K2" s="255"/>
      <c r="L2" s="256" t="s">
        <v>0</v>
      </c>
      <c r="M2" s="256" t="s">
        <v>1300</v>
      </c>
      <c r="N2" s="256" t="s">
        <v>1301</v>
      </c>
      <c r="O2" s="256" t="s">
        <v>225</v>
      </c>
    </row>
    <row r="3" spans="1:19">
      <c r="A3" s="536"/>
      <c r="B3" s="537" t="s">
        <v>1289</v>
      </c>
      <c r="C3" s="537" t="s">
        <v>1288</v>
      </c>
      <c r="D3" s="530" t="s">
        <v>1289</v>
      </c>
      <c r="E3" s="530" t="s">
        <v>1288</v>
      </c>
      <c r="F3" s="530" t="s">
        <v>1289</v>
      </c>
      <c r="G3" s="530" t="s">
        <v>1288</v>
      </c>
      <c r="H3" s="530" t="s">
        <v>1289</v>
      </c>
      <c r="I3" s="530" t="s">
        <v>1288</v>
      </c>
      <c r="K3" s="530" t="s">
        <v>341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341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401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401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579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579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250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250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661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661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33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33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664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664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666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666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668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668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672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672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1295</v>
      </c>
      <c r="B14" s="530" t="s">
        <v>1289</v>
      </c>
      <c r="C14" s="530" t="s">
        <v>1288</v>
      </c>
      <c r="D14" s="530" t="s">
        <v>1289</v>
      </c>
      <c r="E14" s="530" t="s">
        <v>1288</v>
      </c>
      <c r="F14" s="530" t="s">
        <v>1289</v>
      </c>
      <c r="G14" s="530" t="s">
        <v>1288</v>
      </c>
      <c r="H14" s="530" t="s">
        <v>1289</v>
      </c>
      <c r="I14" s="540" t="s">
        <v>1288</v>
      </c>
      <c r="L14" s="968" t="s">
        <v>0</v>
      </c>
      <c r="M14" s="256" t="s">
        <v>1300</v>
      </c>
      <c r="N14" s="256" t="s">
        <v>1301</v>
      </c>
      <c r="O14" s="969" t="s">
        <v>225</v>
      </c>
      <c r="P14" s="968" t="s">
        <v>0</v>
      </c>
      <c r="Q14" s="256" t="s">
        <v>1300</v>
      </c>
      <c r="R14" s="256" t="s">
        <v>1301</v>
      </c>
      <c r="S14" s="969" t="s">
        <v>225</v>
      </c>
    </row>
    <row r="15" spans="1:19" ht="14.25">
      <c r="A15" s="530" t="s">
        <v>341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341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401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401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579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579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250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250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661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661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33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33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664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664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666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666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668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668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672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672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4" t="s">
        <v>1307</v>
      </c>
      <c r="B1" s="1721" t="s">
        <v>1308</v>
      </c>
      <c r="C1" s="1722"/>
      <c r="D1" s="1723"/>
      <c r="E1" s="1721" t="s">
        <v>1309</v>
      </c>
      <c r="F1" s="1722"/>
      <c r="G1" s="1723"/>
    </row>
    <row r="2" spans="1:7">
      <c r="A2" s="1725"/>
      <c r="B2" s="545" t="s">
        <v>1310</v>
      </c>
      <c r="C2" s="546" t="s">
        <v>1311</v>
      </c>
      <c r="D2" s="547" t="s">
        <v>1312</v>
      </c>
      <c r="E2" s="545" t="s">
        <v>1310</v>
      </c>
      <c r="F2" s="546" t="s">
        <v>1311</v>
      </c>
      <c r="G2" s="547" t="s">
        <v>1312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1315</v>
      </c>
      <c r="B1" s="500" t="s">
        <v>341</v>
      </c>
      <c r="C1" s="504" t="s">
        <v>341</v>
      </c>
      <c r="D1" s="500" t="s">
        <v>401</v>
      </c>
      <c r="E1" s="501" t="s">
        <v>401</v>
      </c>
      <c r="F1" s="506" t="s">
        <v>579</v>
      </c>
      <c r="G1" s="504" t="s">
        <v>579</v>
      </c>
      <c r="H1" s="500" t="s">
        <v>250</v>
      </c>
      <c r="I1" s="501" t="s">
        <v>250</v>
      </c>
      <c r="J1" s="506" t="s">
        <v>661</v>
      </c>
      <c r="K1" s="504" t="s">
        <v>661</v>
      </c>
      <c r="L1" s="500" t="s">
        <v>33</v>
      </c>
      <c r="M1" s="501" t="s">
        <v>33</v>
      </c>
      <c r="N1" s="506" t="s">
        <v>664</v>
      </c>
      <c r="O1" s="504" t="s">
        <v>664</v>
      </c>
      <c r="P1" s="500" t="s">
        <v>666</v>
      </c>
      <c r="Q1" s="501" t="s">
        <v>666</v>
      </c>
      <c r="R1" s="506" t="s">
        <v>668</v>
      </c>
      <c r="S1" s="504" t="s">
        <v>668</v>
      </c>
      <c r="T1" s="500" t="s">
        <v>672</v>
      </c>
      <c r="U1" s="501" t="s">
        <v>672</v>
      </c>
    </row>
    <row r="2" spans="1:21" ht="12.75" thickBot="1">
      <c r="A2" s="515"/>
      <c r="B2" s="502" t="s">
        <v>1320</v>
      </c>
      <c r="C2" s="505" t="s">
        <v>1321</v>
      </c>
      <c r="D2" s="502" t="s">
        <v>1320</v>
      </c>
      <c r="E2" s="503" t="s">
        <v>1321</v>
      </c>
      <c r="F2" s="507" t="s">
        <v>1320</v>
      </c>
      <c r="G2" s="505" t="s">
        <v>1321</v>
      </c>
      <c r="H2" s="502" t="s">
        <v>1320</v>
      </c>
      <c r="I2" s="503" t="s">
        <v>1321</v>
      </c>
      <c r="J2" s="507" t="s">
        <v>1320</v>
      </c>
      <c r="K2" s="505" t="s">
        <v>1321</v>
      </c>
      <c r="L2" s="502" t="s">
        <v>1320</v>
      </c>
      <c r="M2" s="503" t="s">
        <v>1321</v>
      </c>
      <c r="N2" s="507" t="s">
        <v>1320</v>
      </c>
      <c r="O2" s="505" t="s">
        <v>1321</v>
      </c>
      <c r="P2" s="502" t="s">
        <v>1320</v>
      </c>
      <c r="Q2" s="503" t="s">
        <v>1321</v>
      </c>
      <c r="R2" s="507" t="s">
        <v>1320</v>
      </c>
      <c r="S2" s="505" t="s">
        <v>1321</v>
      </c>
      <c r="T2" s="502" t="s">
        <v>1316</v>
      </c>
      <c r="U2" s="503" t="s">
        <v>1317</v>
      </c>
    </row>
    <row r="3" spans="1:21">
      <c r="A3" s="479" t="s">
        <v>893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896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897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898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900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902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896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897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898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1313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904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898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1313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901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1314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27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904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898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900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907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1319</v>
      </c>
      <c r="B35" s="495" t="s">
        <v>288</v>
      </c>
      <c r="C35" s="496" t="s">
        <v>32</v>
      </c>
      <c r="D35" s="496" t="s">
        <v>290</v>
      </c>
      <c r="E35" s="496" t="s">
        <v>29</v>
      </c>
      <c r="F35" s="496" t="s">
        <v>30</v>
      </c>
      <c r="G35" s="496" t="s">
        <v>31</v>
      </c>
      <c r="H35" s="497" t="s">
        <v>294</v>
      </c>
      <c r="I35" s="497" t="s">
        <v>295</v>
      </c>
      <c r="J35" s="496" t="s">
        <v>296</v>
      </c>
      <c r="K35" s="498" t="s">
        <v>297</v>
      </c>
    </row>
    <row r="36" spans="1:11">
      <c r="A36" s="482" t="s">
        <v>893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896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897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898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900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902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896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897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898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1313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904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898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1313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901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1314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27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904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898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900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907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1318</v>
      </c>
      <c r="B65" s="496" t="s">
        <v>288</v>
      </c>
      <c r="C65" s="496" t="s">
        <v>32</v>
      </c>
      <c r="D65" s="496" t="s">
        <v>290</v>
      </c>
      <c r="E65" s="496" t="s">
        <v>29</v>
      </c>
      <c r="F65" s="496" t="s">
        <v>30</v>
      </c>
      <c r="G65" s="496" t="s">
        <v>31</v>
      </c>
      <c r="H65" s="497" t="s">
        <v>294</v>
      </c>
      <c r="I65" s="497" t="s">
        <v>295</v>
      </c>
      <c r="J65" s="496" t="s">
        <v>296</v>
      </c>
      <c r="K65" s="498" t="s">
        <v>297</v>
      </c>
    </row>
    <row r="66" spans="1:11">
      <c r="A66" s="482" t="s">
        <v>893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896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897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898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900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902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896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897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898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1313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904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898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1313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901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1314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27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904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898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900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907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1452</v>
      </c>
      <c r="B1" s="574"/>
      <c r="C1" s="1402" t="s">
        <v>1556</v>
      </c>
      <c r="D1" s="641" t="s">
        <v>1417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908</v>
      </c>
      <c r="B2" s="653" t="str">
        <f>IF(C1="求取熟地价",E27,IF(C1="求取毛地价",E29,"——"))</f>
        <v>——</v>
      </c>
      <c r="C2" s="895" t="s">
        <v>979</v>
      </c>
      <c r="D2" s="1729" t="s">
        <v>1422</v>
      </c>
      <c r="E2" s="1733" t="s">
        <v>1418</v>
      </c>
      <c r="F2" s="619" t="s">
        <v>1421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1552</v>
      </c>
      <c r="B3" s="655" t="e">
        <f ca="1">IF(C1="求取熟地价",C27,ROUND((C15*B11+C18)*C22/B11,0))</f>
        <v>#DIV/0!</v>
      </c>
      <c r="C3" s="896" t="s">
        <v>912</v>
      </c>
      <c r="D3" s="1730"/>
      <c r="E3" s="1734"/>
      <c r="F3" s="619" t="s">
        <v>1432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0"/>
      <c r="E4" s="1734"/>
      <c r="F4" s="619" t="s">
        <v>1433</v>
      </c>
      <c r="G4" s="353"/>
      <c r="H4" s="353"/>
      <c r="I4" s="622"/>
      <c r="J4" s="645"/>
      <c r="AE4" s="445"/>
      <c r="AF4" s="445"/>
    </row>
    <row r="5" spans="1:36" ht="14.25">
      <c r="A5" s="656" t="s">
        <v>982</v>
      </c>
      <c r="B5" s="898" t="str">
        <f>主表!B12</f>
        <v>住宅/居住</v>
      </c>
      <c r="C5" s="660"/>
      <c r="D5" s="1731"/>
      <c r="E5" s="1735"/>
      <c r="F5" s="619" t="s">
        <v>1434</v>
      </c>
      <c r="G5" s="353"/>
      <c r="H5" s="353"/>
      <c r="I5" s="622"/>
      <c r="J5" s="645"/>
      <c r="AE5" s="445"/>
      <c r="AF5" s="445"/>
    </row>
    <row r="6" spans="1:36" ht="14.25">
      <c r="A6" s="657" t="s">
        <v>1430</v>
      </c>
      <c r="B6" s="1234"/>
      <c r="C6" s="660"/>
      <c r="D6" s="1729" t="s">
        <v>1423</v>
      </c>
      <c r="E6" s="1733" t="s">
        <v>1419</v>
      </c>
      <c r="F6" s="619" t="s">
        <v>1435</v>
      </c>
      <c r="G6" s="353"/>
      <c r="H6" s="353"/>
      <c r="I6" s="622"/>
      <c r="J6" s="645"/>
      <c r="AE6" s="445"/>
      <c r="AF6" s="445"/>
    </row>
    <row r="7" spans="1:36" ht="14.25">
      <c r="A7" s="1267" t="s">
        <v>1431</v>
      </c>
      <c r="B7" s="706" t="str">
        <f>LEFT(主表!B10,1)&amp;"类"</f>
        <v>七类</v>
      </c>
      <c r="C7" s="660"/>
      <c r="D7" s="1730"/>
      <c r="E7" s="1734"/>
      <c r="F7" s="619" t="s">
        <v>1436</v>
      </c>
      <c r="G7" s="353"/>
      <c r="H7" s="353"/>
      <c r="I7" s="622"/>
      <c r="J7" s="645"/>
      <c r="AE7" s="445"/>
      <c r="AF7" s="445"/>
    </row>
    <row r="8" spans="1:36" ht="15">
      <c r="A8" s="657" t="s">
        <v>1557</v>
      </c>
      <c r="B8" s="1299"/>
      <c r="C8" s="660"/>
      <c r="D8" s="1731"/>
      <c r="E8" s="1735"/>
      <c r="F8" s="619" t="s">
        <v>1437</v>
      </c>
      <c r="G8" s="353"/>
      <c r="H8" s="353"/>
      <c r="I8" s="622"/>
      <c r="J8" s="645"/>
      <c r="AE8" s="445"/>
      <c r="AF8" s="445"/>
    </row>
    <row r="9" spans="1:36" ht="15">
      <c r="A9" s="657" t="s">
        <v>1176</v>
      </c>
      <c r="B9" s="658">
        <f>主表!B7</f>
        <v>97.27</v>
      </c>
      <c r="C9" s="660"/>
      <c r="D9" s="644" t="s">
        <v>1424</v>
      </c>
      <c r="E9" s="621" t="s">
        <v>1400</v>
      </c>
      <c r="F9" s="619" t="s">
        <v>1438</v>
      </c>
      <c r="G9" s="353"/>
      <c r="H9" s="353"/>
      <c r="I9" s="622"/>
      <c r="J9" s="645"/>
      <c r="AE9" s="445"/>
      <c r="AF9" s="445"/>
    </row>
    <row r="10" spans="1:36" ht="15">
      <c r="A10" s="657" t="s">
        <v>1339</v>
      </c>
      <c r="B10" s="658">
        <f>主表!B6</f>
        <v>0</v>
      </c>
      <c r="C10" s="660"/>
      <c r="D10" s="1729" t="s">
        <v>1401</v>
      </c>
      <c r="E10" s="1733" t="s">
        <v>1420</v>
      </c>
      <c r="F10" s="619" t="s">
        <v>1439</v>
      </c>
      <c r="G10" s="353"/>
      <c r="H10" s="353"/>
      <c r="I10" s="622"/>
      <c r="J10" s="645"/>
      <c r="AE10" s="445"/>
      <c r="AF10" s="445"/>
    </row>
    <row r="11" spans="1:36" ht="15.75" thickBot="1">
      <c r="A11" s="1379" t="s">
        <v>1217</v>
      </c>
      <c r="B11" s="659" t="e">
        <f>IF(A11="容积率",主表!B8,主表!B9)</f>
        <v>#DIV/0!</v>
      </c>
      <c r="C11" s="660"/>
      <c r="D11" s="1732"/>
      <c r="E11" s="1736"/>
      <c r="F11" s="646" t="s">
        <v>1440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1447</v>
      </c>
      <c r="B13" s="639"/>
      <c r="C13" s="640" t="s">
        <v>1448</v>
      </c>
      <c r="D13" s="897" t="s">
        <v>1289</v>
      </c>
      <c r="E13" s="898" t="s">
        <v>1441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2" t="s">
        <v>913</v>
      </c>
      <c r="B14" s="1273" t="s">
        <v>1425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2" t="s">
        <v>1444</v>
      </c>
      <c r="B15" s="1268" t="s">
        <v>1409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1426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1427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1561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8" t="s">
        <v>1445</v>
      </c>
      <c r="B18" s="1309" t="s">
        <v>1429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75">
      <c r="A19" s="1305"/>
      <c r="B19" s="1306" t="s">
        <v>1428</v>
      </c>
      <c r="C19" s="1307"/>
      <c r="D19" s="594">
        <f>SUMPRODUCT((D35:M35=B7)*(B44:B46=B19)*(D44:M46))</f>
        <v>5900</v>
      </c>
      <c r="E19" s="594">
        <f>SUMPRODUCT((D35:M35=B7)*(B47:B49=B19)*(D47:M49))</f>
        <v>7800</v>
      </c>
      <c r="F19" s="1297" t="s">
        <v>1446</v>
      </c>
      <c r="G19" s="339"/>
      <c r="H19" s="616"/>
      <c r="I19" s="617"/>
      <c r="J19" s="339"/>
      <c r="AE19" s="445"/>
      <c r="AF19" s="445"/>
    </row>
    <row r="20" spans="1:37" ht="15.75" thickBot="1">
      <c r="A20" s="1296"/>
      <c r="B20" s="1293" t="s">
        <v>1560</v>
      </c>
      <c r="C20" s="1294"/>
      <c r="D20" s="1295">
        <f>SUMPRODUCT((D35:M35=B7)*(B50:B51=F20)*(D50:M51))</f>
        <v>150</v>
      </c>
      <c r="E20" s="1275">
        <f>SUMPRODUCT((D35:M35=B7)*(B52:B53=F20)*(D52:M53))</f>
        <v>450</v>
      </c>
      <c r="F20" s="1298" t="s">
        <v>1414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1" t="s">
        <v>1558</v>
      </c>
      <c r="B21" s="1282" t="s">
        <v>936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7" t="s">
        <v>1559</v>
      </c>
      <c r="B22" s="1268" t="s">
        <v>198</v>
      </c>
      <c r="C22" s="1278">
        <f ca="1">ROUND(POWER(1+C23,C25-C24)*(POWER(1+C23,C24)-1)/(POWER(1+C23,C25)-1),4)</f>
        <v>-1.5907183248367601E+37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934</v>
      </c>
      <c r="C23" s="628">
        <f ca="1">AVERAGE(存贷款利率!G3,存贷款利率!I3)</f>
        <v>4.4999999999999998E-2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2" t="s">
        <v>1632</v>
      </c>
      <c r="C24" s="580">
        <f>IF(B24="剩余土地使用年限",主表!B15,主表!B16)</f>
        <v>-1945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9"/>
      <c r="B25" s="1290" t="s">
        <v>1443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3" t="s">
        <v>938</v>
      </c>
      <c r="B26" s="1286" t="s">
        <v>941</v>
      </c>
      <c r="C26" s="1287" t="s">
        <v>945</v>
      </c>
      <c r="D26" s="1287" t="s">
        <v>1338</v>
      </c>
      <c r="E26" s="1288" t="s">
        <v>954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8" t="s">
        <v>1336</v>
      </c>
      <c r="B27" s="717" t="s">
        <v>1323</v>
      </c>
      <c r="C27" s="580" t="e">
        <f>ROUND(C28/B11,0)</f>
        <v>#DIV/0!</v>
      </c>
      <c r="D27" s="589">
        <f>B9</f>
        <v>97.27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9"/>
      <c r="B28" s="722" t="s">
        <v>1326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20" t="s">
        <v>1449</v>
      </c>
      <c r="B29" s="704" t="s">
        <v>1450</v>
      </c>
      <c r="C29" s="594" t="e">
        <f>ROUND(C30/B11,0)</f>
        <v>#DIV/0!</v>
      </c>
      <c r="D29" s="595">
        <f>B9</f>
        <v>97.27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9"/>
      <c r="B30" s="899" t="s">
        <v>1451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1389</v>
      </c>
      <c r="C35" s="618"/>
      <c r="D35" s="618" t="s">
        <v>1390</v>
      </c>
      <c r="E35" s="618" t="s">
        <v>1391</v>
      </c>
      <c r="F35" s="618" t="s">
        <v>1392</v>
      </c>
      <c r="G35" s="618" t="s">
        <v>1393</v>
      </c>
      <c r="H35" s="618" t="s">
        <v>1394</v>
      </c>
      <c r="I35" s="618" t="s">
        <v>1395</v>
      </c>
      <c r="J35" s="618" t="s">
        <v>1396</v>
      </c>
      <c r="K35" s="618" t="s">
        <v>1397</v>
      </c>
      <c r="L35" s="618" t="s">
        <v>1398</v>
      </c>
      <c r="M35" s="618" t="s">
        <v>1399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7" t="s">
        <v>1402</v>
      </c>
      <c r="B36" s="902" t="s">
        <v>1403</v>
      </c>
      <c r="C36" s="903" t="s">
        <v>1404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8"/>
      <c r="B37" s="906" t="s">
        <v>1406</v>
      </c>
      <c r="C37" s="907" t="s">
        <v>1404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8"/>
      <c r="B38" s="906" t="s">
        <v>1407</v>
      </c>
      <c r="C38" s="907" t="s">
        <v>1404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8"/>
      <c r="B39" s="909" t="s">
        <v>1408</v>
      </c>
      <c r="C39" s="910" t="s">
        <v>1404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8"/>
      <c r="B40" s="902" t="s">
        <v>1403</v>
      </c>
      <c r="C40" s="903" t="s">
        <v>1405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8"/>
      <c r="B41" s="906" t="s">
        <v>1406</v>
      </c>
      <c r="C41" s="907" t="s">
        <v>1405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8"/>
      <c r="B42" s="906" t="s">
        <v>1407</v>
      </c>
      <c r="C42" s="907" t="s">
        <v>1405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8"/>
      <c r="B43" s="909" t="s">
        <v>1408</v>
      </c>
      <c r="C43" s="910" t="s">
        <v>1405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26" t="s">
        <v>1409</v>
      </c>
      <c r="B44" s="913" t="s">
        <v>1410</v>
      </c>
      <c r="C44" s="903" t="s">
        <v>1404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27"/>
      <c r="B45" s="914" t="s">
        <v>1411</v>
      </c>
      <c r="C45" s="907" t="s">
        <v>1404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27"/>
      <c r="B46" s="915" t="s">
        <v>1412</v>
      </c>
      <c r="C46" s="910" t="s">
        <v>1404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27"/>
      <c r="B47" s="913" t="s">
        <v>1410</v>
      </c>
      <c r="C47" s="903" t="s">
        <v>1405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27"/>
      <c r="B48" s="914" t="s">
        <v>1411</v>
      </c>
      <c r="C48" s="907" t="s">
        <v>1405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28"/>
      <c r="B49" s="915" t="s">
        <v>1412</v>
      </c>
      <c r="C49" s="910" t="s">
        <v>1405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27" t="s">
        <v>1413</v>
      </c>
      <c r="B50" s="913" t="s">
        <v>1442</v>
      </c>
      <c r="C50" s="903" t="s">
        <v>1404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27"/>
      <c r="B51" s="915" t="s">
        <v>1416</v>
      </c>
      <c r="C51" s="910" t="s">
        <v>1404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27"/>
      <c r="B52" s="913" t="s">
        <v>1415</v>
      </c>
      <c r="C52" s="903" t="s">
        <v>1405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28"/>
      <c r="B53" s="915" t="s">
        <v>1416</v>
      </c>
      <c r="C53" s="910" t="s">
        <v>1405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1388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1174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G51" sqref="G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131</v>
      </c>
      <c r="B1" s="33"/>
      <c r="C1" s="34" t="s">
        <v>132</v>
      </c>
      <c r="D1" s="185"/>
      <c r="E1" s="185"/>
      <c r="F1" s="184" t="s">
        <v>88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86</v>
      </c>
      <c r="B2" s="152" t="e">
        <f>#REF!</f>
        <v>#REF!</v>
      </c>
      <c r="C2" s="411" t="s">
        <v>1140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87</v>
      </c>
      <c r="B3" s="136" t="e">
        <f>C48</f>
        <v>#DIV/0!</v>
      </c>
      <c r="C3" s="183" t="s">
        <v>1141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89</v>
      </c>
      <c r="B4" s="37"/>
      <c r="C4" s="1763" t="s">
        <v>90</v>
      </c>
      <c r="D4" s="1764"/>
      <c r="E4" s="1765" t="s">
        <v>91</v>
      </c>
      <c r="F4" s="1766"/>
      <c r="G4" s="1763" t="s">
        <v>92</v>
      </c>
      <c r="H4" s="1764"/>
      <c r="I4" s="1763" t="s">
        <v>93</v>
      </c>
      <c r="J4" s="1764"/>
      <c r="K4" s="137" t="s">
        <v>94</v>
      </c>
      <c r="L4" s="417"/>
      <c r="M4" s="418"/>
      <c r="N4" s="418"/>
      <c r="O4" s="418"/>
      <c r="P4" s="1767" t="s">
        <v>95</v>
      </c>
      <c r="Q4" s="1768"/>
      <c r="R4" s="1750" t="s">
        <v>91</v>
      </c>
      <c r="S4" s="1751"/>
      <c r="T4" s="1750" t="s">
        <v>92</v>
      </c>
      <c r="U4" s="1751"/>
      <c r="V4" s="1747" t="s">
        <v>93</v>
      </c>
      <c r="W4" s="1747"/>
      <c r="X4" s="193"/>
      <c r="Y4" s="1750" t="s">
        <v>95</v>
      </c>
      <c r="Z4" s="1751"/>
      <c r="AA4" s="1760" t="s">
        <v>91</v>
      </c>
      <c r="AB4" s="1761" t="s">
        <v>92</v>
      </c>
      <c r="AC4" s="1760" t="s">
        <v>93</v>
      </c>
    </row>
    <row r="5" spans="1:29" ht="15">
      <c r="A5" s="39"/>
      <c r="B5" s="40"/>
      <c r="C5" s="1775" t="s">
        <v>226</v>
      </c>
      <c r="D5" s="1776"/>
      <c r="E5" s="1773" t="s">
        <v>227</v>
      </c>
      <c r="F5" s="1774"/>
      <c r="G5" s="1775" t="s">
        <v>230</v>
      </c>
      <c r="H5" s="1776"/>
      <c r="I5" s="1775" t="s">
        <v>228</v>
      </c>
      <c r="J5" s="1776"/>
      <c r="K5" s="137"/>
      <c r="L5" s="417"/>
      <c r="M5" s="418"/>
      <c r="N5" s="418"/>
      <c r="O5" s="418"/>
      <c r="P5" s="1769"/>
      <c r="Q5" s="1770"/>
      <c r="R5" s="1752"/>
      <c r="S5" s="1753"/>
      <c r="T5" s="1752"/>
      <c r="U5" s="1753"/>
      <c r="V5" s="1747"/>
      <c r="W5" s="1747"/>
      <c r="X5" s="193"/>
      <c r="Y5" s="1752"/>
      <c r="Z5" s="1753"/>
      <c r="AA5" s="1761"/>
      <c r="AB5" s="1761"/>
      <c r="AC5" s="1761"/>
    </row>
    <row r="6" spans="1:29" ht="15.75" thickBot="1">
      <c r="A6" s="41"/>
      <c r="B6" s="42"/>
      <c r="C6" s="1777" t="s">
        <v>229</v>
      </c>
      <c r="D6" s="1778"/>
      <c r="E6" s="1779" t="s">
        <v>229</v>
      </c>
      <c r="F6" s="1780"/>
      <c r="G6" s="1777" t="s">
        <v>229</v>
      </c>
      <c r="H6" s="1778"/>
      <c r="I6" s="1777" t="s">
        <v>229</v>
      </c>
      <c r="J6" s="1778"/>
      <c r="K6" s="137" t="s">
        <v>96</v>
      </c>
      <c r="L6" s="417"/>
      <c r="M6" s="418"/>
      <c r="N6" s="418"/>
      <c r="O6" s="418"/>
      <c r="P6" s="1771"/>
      <c r="Q6" s="1772"/>
      <c r="R6" s="1752"/>
      <c r="S6" s="1753"/>
      <c r="T6" s="1754"/>
      <c r="U6" s="1755"/>
      <c r="V6" s="1747"/>
      <c r="W6" s="1747"/>
      <c r="X6" s="193"/>
      <c r="Y6" s="1754"/>
      <c r="Z6" s="1755"/>
      <c r="AA6" s="1762"/>
      <c r="AB6" s="1762"/>
      <c r="AC6" s="1762"/>
    </row>
    <row r="7" spans="1:29" s="21" customFormat="1" ht="15.75" thickBot="1">
      <c r="A7" s="43" t="s">
        <v>97</v>
      </c>
      <c r="B7" s="44"/>
      <c r="C7" s="1265">
        <f>主表!B4</f>
        <v>42139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8" t="s">
        <v>98</v>
      </c>
      <c r="Q7" s="1756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8" t="s">
        <v>98</v>
      </c>
      <c r="Z7" s="1749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99</v>
      </c>
      <c r="B8" s="44"/>
      <c r="C8" s="600" t="s">
        <v>26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8" t="s">
        <v>124</v>
      </c>
      <c r="Q8" s="1749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8" t="s">
        <v>124</v>
      </c>
      <c r="Z8" s="1749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100</v>
      </c>
      <c r="B9" s="20" t="s">
        <v>116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0" t="s">
        <v>101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59" t="s">
        <v>102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103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40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59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1217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0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59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2"/>
      <c r="B12" s="980" t="s">
        <v>1530</v>
      </c>
      <c r="C12" s="1003" t="str">
        <f>主表!B10</f>
        <v>七级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0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59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40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59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40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59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105</v>
      </c>
      <c r="B15" s="983" t="s">
        <v>85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7" t="s">
        <v>106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7" t="s">
        <v>106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58"/>
      <c r="Q16" s="197"/>
      <c r="R16" s="198"/>
      <c r="S16" s="199"/>
      <c r="T16" s="198"/>
      <c r="U16" s="199"/>
      <c r="V16" s="198"/>
      <c r="W16" s="199"/>
      <c r="X16" s="193"/>
      <c r="Y16" s="1758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4" t="s">
        <v>125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8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8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58"/>
      <c r="Q18" s="197"/>
      <c r="R18" s="198"/>
      <c r="S18" s="199"/>
      <c r="T18" s="198"/>
      <c r="U18" s="199"/>
      <c r="V18" s="198"/>
      <c r="W18" s="199"/>
      <c r="X18" s="193"/>
      <c r="Y18" s="1758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4" t="s">
        <v>127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8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8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58"/>
      <c r="Q20" s="197"/>
      <c r="R20" s="198"/>
      <c r="S20" s="199"/>
      <c r="T20" s="198"/>
      <c r="U20" s="199"/>
      <c r="V20" s="198"/>
      <c r="W20" s="199"/>
      <c r="X20" s="193"/>
      <c r="Y20" s="1758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4" t="s">
        <v>130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8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8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58"/>
      <c r="Q22" s="197"/>
      <c r="R22" s="198"/>
      <c r="S22" s="199"/>
      <c r="T22" s="198"/>
      <c r="U22" s="199"/>
      <c r="V22" s="198"/>
      <c r="W22" s="199"/>
      <c r="X22" s="193"/>
      <c r="Y22" s="1758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4" t="s">
        <v>133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8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8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58"/>
      <c r="Q24" s="197"/>
      <c r="R24" s="198"/>
      <c r="S24" s="199"/>
      <c r="T24" s="198"/>
      <c r="U24" s="199"/>
      <c r="V24" s="198"/>
      <c r="W24" s="199"/>
      <c r="X24" s="193"/>
      <c r="Y24" s="1758"/>
      <c r="Z24" s="200"/>
      <c r="AA24" s="200"/>
      <c r="AB24" s="200"/>
      <c r="AC24" s="200"/>
    </row>
    <row r="25" spans="1:29" ht="54" hidden="1">
      <c r="A25" s="39"/>
      <c r="B25" s="985" t="s">
        <v>134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8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8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58"/>
      <c r="Q26" s="197"/>
      <c r="R26" s="198"/>
      <c r="S26" s="199"/>
      <c r="T26" s="198"/>
      <c r="U26" s="199"/>
      <c r="V26" s="198"/>
      <c r="W26" s="199"/>
      <c r="X26" s="193"/>
      <c r="Y26" s="1758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6" t="s">
        <v>1196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8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8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58"/>
      <c r="Q28" s="17"/>
      <c r="R28" s="194"/>
      <c r="S28" s="195"/>
      <c r="T28" s="194"/>
      <c r="U28" s="195"/>
      <c r="V28" s="194"/>
      <c r="W28" s="195"/>
      <c r="X28" s="196"/>
      <c r="Y28" s="1758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6" t="s">
        <v>1197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8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8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58"/>
      <c r="Q30" s="17"/>
      <c r="R30" s="194"/>
      <c r="S30" s="195"/>
      <c r="T30" s="194"/>
      <c r="U30" s="195"/>
      <c r="V30" s="194"/>
      <c r="W30" s="195"/>
      <c r="X30" s="196"/>
      <c r="Y30" s="1758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126</v>
      </c>
      <c r="C31" s="997" t="s">
        <v>28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8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8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5" t="s">
        <v>128</v>
      </c>
      <c r="C32" s="994" t="s">
        <v>135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8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8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58"/>
      <c r="Q33" s="197"/>
      <c r="R33" s="198"/>
      <c r="S33" s="199"/>
      <c r="T33" s="198"/>
      <c r="U33" s="199"/>
      <c r="V33" s="198"/>
      <c r="W33" s="199"/>
      <c r="X33" s="193"/>
      <c r="Y33" s="1758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136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58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8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58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8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45" t="s">
        <v>107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6" t="s">
        <v>107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1" t="s">
        <v>1543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46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6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1544</v>
      </c>
      <c r="B38" s="140" t="s">
        <v>137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6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6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138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6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6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139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6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6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140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6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6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141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6" t="s">
        <v>107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6" t="s">
        <v>107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6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6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6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6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2" t="s">
        <v>1545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6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6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142</v>
      </c>
      <c r="B46" s="10" t="s">
        <v>1735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0" t="str">
        <f>A46</f>
        <v>成交单价</v>
      </c>
      <c r="Q46" s="1740"/>
      <c r="R46" s="1747">
        <f>E46</f>
        <v>0</v>
      </c>
      <c r="S46" s="1747"/>
      <c r="T46" s="1747">
        <f>G46</f>
        <v>0</v>
      </c>
      <c r="U46" s="1747"/>
      <c r="V46" s="1747">
        <f>I46</f>
        <v>0</v>
      </c>
      <c r="W46" s="1747"/>
      <c r="X46" s="189"/>
      <c r="Y46" s="205"/>
      <c r="Z46" s="189"/>
      <c r="AA46" s="189"/>
      <c r="AB46" s="189"/>
      <c r="AC46" s="189"/>
    </row>
    <row r="47" spans="1:29" ht="15.75" thickBot="1">
      <c r="A47" s="70" t="s">
        <v>108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0" t="str">
        <f>A47</f>
        <v>比较价值（元/平方米）</v>
      </c>
      <c r="Q47" s="1740"/>
      <c r="R47" s="1741" t="e">
        <f>ROUND(PRODUCT(R46,AA7:AA45),0)</f>
        <v>#DIV/0!</v>
      </c>
      <c r="S47" s="1741"/>
      <c r="T47" s="1741" t="e">
        <f>ROUND(PRODUCT(T46,AB7:AB45),0)</f>
        <v>#DIV/0!</v>
      </c>
      <c r="U47" s="1741"/>
      <c r="V47" s="1741" t="e">
        <f>ROUND(PRODUCT(V46,AC7:AC45),0)</f>
        <v>#DIV/0!</v>
      </c>
      <c r="W47" s="1741"/>
      <c r="X47" s="189"/>
      <c r="Y47" s="189"/>
      <c r="Z47" s="189"/>
      <c r="AA47" s="189"/>
      <c r="AB47" s="189"/>
      <c r="AC47" s="189"/>
    </row>
    <row r="48" spans="1:29" ht="15.7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2" t="str">
        <f>A48</f>
        <v>估价对象比较价值（单价内涵，元/平方米）</v>
      </c>
      <c r="Q48" s="1743"/>
      <c r="R48" s="1744" t="e">
        <f>ROUND(AVERAGE(R47:V47),0)</f>
        <v>#DIV/0!</v>
      </c>
      <c r="S48" s="1744"/>
      <c r="T48" s="1744"/>
      <c r="U48" s="1744"/>
      <c r="V48" s="1744"/>
      <c r="W48" s="1744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109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110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111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2015-5-1</v>
      </c>
      <c r="D56" s="1448">
        <f>EDATE(C56,-3)</f>
        <v>42036</v>
      </c>
      <c r="E56" s="1448">
        <f t="shared" ref="E56:O56" si="15">EDATE(D56,-3)</f>
        <v>41944</v>
      </c>
      <c r="F56" s="1448">
        <f t="shared" si="15"/>
        <v>41852</v>
      </c>
      <c r="G56" s="1448">
        <f t="shared" si="15"/>
        <v>41760</v>
      </c>
      <c r="H56" s="1448">
        <f t="shared" si="15"/>
        <v>41671</v>
      </c>
      <c r="I56" s="1448">
        <f t="shared" si="15"/>
        <v>41579</v>
      </c>
      <c r="J56" s="1448">
        <f t="shared" si="15"/>
        <v>41487</v>
      </c>
      <c r="K56" s="1448">
        <f t="shared" si="15"/>
        <v>41395</v>
      </c>
      <c r="L56" s="1448">
        <f t="shared" si="15"/>
        <v>41306</v>
      </c>
      <c r="M56" s="1448">
        <f t="shared" si="15"/>
        <v>41214</v>
      </c>
      <c r="N56" s="1448">
        <f t="shared" si="15"/>
        <v>41122</v>
      </c>
      <c r="O56" s="1448">
        <f t="shared" si="15"/>
        <v>41030</v>
      </c>
    </row>
    <row r="57" spans="1:17" ht="21.75" thickBot="1">
      <c r="A57" s="1082" t="s">
        <v>112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5">
      <c r="A58" s="86" t="s">
        <v>97</v>
      </c>
      <c r="B58" s="87"/>
      <c r="C58" s="1447" t="str">
        <f>YEAR(C56)&amp;"-"&amp;ROUNDUP(MONTH(C56)/3,0)</f>
        <v>2015-2</v>
      </c>
      <c r="D58" s="1447" t="str">
        <f t="shared" ref="D58:O58" si="16">YEAR(D56)&amp;"-"&amp;ROUNDUP(MONTH(D56)/3,0)</f>
        <v>2015-1</v>
      </c>
      <c r="E58" s="1447" t="str">
        <f t="shared" si="16"/>
        <v>2014-4</v>
      </c>
      <c r="F58" s="1447" t="str">
        <f t="shared" si="16"/>
        <v>2014-3</v>
      </c>
      <c r="G58" s="1447" t="str">
        <f t="shared" si="16"/>
        <v>2014-2</v>
      </c>
      <c r="H58" s="1447" t="str">
        <f t="shared" si="16"/>
        <v>2014-1</v>
      </c>
      <c r="I58" s="1447" t="str">
        <f t="shared" si="16"/>
        <v>2013-4</v>
      </c>
      <c r="J58" s="1447" t="str">
        <f t="shared" si="16"/>
        <v>2013-3</v>
      </c>
      <c r="K58" s="1447" t="str">
        <f t="shared" si="16"/>
        <v>2013-2</v>
      </c>
      <c r="L58" s="1447" t="str">
        <f t="shared" si="16"/>
        <v>2013-1</v>
      </c>
      <c r="M58" s="1447" t="str">
        <f t="shared" si="16"/>
        <v>2012-4</v>
      </c>
      <c r="N58" s="1447" t="str">
        <f t="shared" si="16"/>
        <v>2012-3</v>
      </c>
      <c r="O58" s="1447" t="str">
        <f t="shared" si="16"/>
        <v>2012-2</v>
      </c>
    </row>
    <row r="59" spans="1:17" s="1019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.75" thickBot="1">
      <c r="A60" s="92" t="s">
        <v>113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5">
      <c r="A61" s="94" t="s">
        <v>99</v>
      </c>
      <c r="B61" s="89"/>
      <c r="C61" s="95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115</v>
      </c>
      <c r="B63" s="97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103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104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8" t="s">
        <v>1531</v>
      </c>
      <c r="D70" s="978" t="s">
        <v>1532</v>
      </c>
      <c r="E70" s="978" t="s">
        <v>1533</v>
      </c>
      <c r="F70" s="978" t="s">
        <v>1534</v>
      </c>
      <c r="G70" s="978" t="s">
        <v>1535</v>
      </c>
      <c r="H70" s="978" t="s">
        <v>1536</v>
      </c>
      <c r="I70" s="978" t="s">
        <v>1537</v>
      </c>
      <c r="J70" s="978" t="s">
        <v>1538</v>
      </c>
      <c r="K70" s="978" t="s">
        <v>1539</v>
      </c>
      <c r="L70" s="978" t="s">
        <v>1540</v>
      </c>
      <c r="M70" s="979" t="s">
        <v>1541</v>
      </c>
      <c r="N70" s="979" t="s">
        <v>1542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.7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5.75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.7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5.75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idden="1">
      <c r="A76" s="57" t="s">
        <v>105</v>
      </c>
      <c r="B76" s="97" t="s">
        <v>117</v>
      </c>
      <c r="C76" s="122" t="s">
        <v>118</v>
      </c>
      <c r="D76" s="122" t="s">
        <v>119</v>
      </c>
      <c r="E76" s="122" t="s">
        <v>120</v>
      </c>
      <c r="F76" s="122" t="s">
        <v>121</v>
      </c>
      <c r="G76" s="122" t="s">
        <v>122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.75" hidden="1" thickTop="1">
      <c r="A78" s="51"/>
      <c r="B78" s="102" t="s">
        <v>143</v>
      </c>
      <c r="C78" s="126" t="s">
        <v>118</v>
      </c>
      <c r="D78" s="126" t="s">
        <v>119</v>
      </c>
      <c r="E78" s="126" t="s">
        <v>120</v>
      </c>
      <c r="F78" s="126" t="s">
        <v>121</v>
      </c>
      <c r="G78" s="126" t="s">
        <v>122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.75" hidden="1" thickTop="1">
      <c r="A80" s="51"/>
      <c r="B80" s="102" t="s">
        <v>129</v>
      </c>
      <c r="C80" s="126" t="s">
        <v>118</v>
      </c>
      <c r="D80" s="126" t="s">
        <v>119</v>
      </c>
      <c r="E80" s="126" t="s">
        <v>120</v>
      </c>
      <c r="F80" s="126" t="s">
        <v>121</v>
      </c>
      <c r="G80" s="126" t="s">
        <v>122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.75" hidden="1" thickTop="1">
      <c r="A82" s="51"/>
      <c r="B82" s="102" t="s">
        <v>123</v>
      </c>
      <c r="C82" s="126" t="s">
        <v>118</v>
      </c>
      <c r="D82" s="126" t="s">
        <v>119</v>
      </c>
      <c r="E82" s="126" t="s">
        <v>120</v>
      </c>
      <c r="F82" s="126" t="s">
        <v>121</v>
      </c>
      <c r="G82" s="126" t="s">
        <v>122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7.75" hidden="1" thickTop="1">
      <c r="A84" s="127"/>
      <c r="B84" s="102" t="s">
        <v>144</v>
      </c>
      <c r="C84" s="126" t="s">
        <v>118</v>
      </c>
      <c r="D84" s="126" t="s">
        <v>119</v>
      </c>
      <c r="E84" s="126" t="s">
        <v>120</v>
      </c>
      <c r="F84" s="126" t="s">
        <v>121</v>
      </c>
      <c r="G84" s="126" t="s">
        <v>122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7.75" hidden="1" thickTop="1">
      <c r="A86" s="127"/>
      <c r="B86" s="102" t="s">
        <v>145</v>
      </c>
      <c r="C86" s="122" t="s">
        <v>118</v>
      </c>
      <c r="D86" s="122" t="s">
        <v>119</v>
      </c>
      <c r="E86" s="122" t="s">
        <v>120</v>
      </c>
      <c r="F86" s="122" t="s">
        <v>121</v>
      </c>
      <c r="G86" s="122" t="s">
        <v>122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.75" hidden="1" thickTop="1">
      <c r="A88" s="117"/>
      <c r="B88" s="149" t="s">
        <v>1196</v>
      </c>
      <c r="C88" s="122" t="s">
        <v>118</v>
      </c>
      <c r="D88" s="122" t="s">
        <v>119</v>
      </c>
      <c r="E88" s="122" t="s">
        <v>120</v>
      </c>
      <c r="F88" s="122" t="s">
        <v>121</v>
      </c>
      <c r="G88" s="122" t="s">
        <v>122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.75" hidden="1" thickTop="1">
      <c r="A90" s="117"/>
      <c r="B90" s="151" t="s">
        <v>1198</v>
      </c>
      <c r="C90" s="11" t="s">
        <v>1191</v>
      </c>
      <c r="D90" s="11" t="s">
        <v>1192</v>
      </c>
      <c r="E90" s="11" t="s">
        <v>1193</v>
      </c>
      <c r="F90" s="11" t="s">
        <v>1194</v>
      </c>
      <c r="G90" s="11" t="s">
        <v>1195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.75" hidden="1" thickTop="1">
      <c r="A92" s="51"/>
      <c r="B92" s="102" t="str">
        <f>B31</f>
        <v>临街状况</v>
      </c>
      <c r="C92" s="103" t="s">
        <v>146</v>
      </c>
      <c r="D92" s="103" t="s">
        <v>147</v>
      </c>
      <c r="E92" s="103" t="s">
        <v>148</v>
      </c>
      <c r="F92" s="103" t="s">
        <v>149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7.75" hidden="1" thickTop="1">
      <c r="A94" s="51"/>
      <c r="B94" s="102" t="s">
        <v>128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.7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.7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5.75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t="15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1546</v>
      </c>
      <c r="D102" s="1055" t="s">
        <v>1547</v>
      </c>
      <c r="E102" s="1055" t="s">
        <v>1548</v>
      </c>
      <c r="F102" s="1055" t="s">
        <v>1549</v>
      </c>
      <c r="G102" s="1055" t="s">
        <v>1550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30" hidden="1" thickTop="1" thickBot="1">
      <c r="A104" s="1046" t="s">
        <v>1545</v>
      </c>
      <c r="B104" s="110" t="s">
        <v>150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75" hidden="1" thickTop="1" thickBot="1">
      <c r="A107" s="1047"/>
      <c r="B107" s="102" t="s">
        <v>151</v>
      </c>
      <c r="C107" s="1051" t="s">
        <v>231</v>
      </c>
      <c r="D107" s="1051" t="s">
        <v>232</v>
      </c>
      <c r="E107" s="1051" t="s">
        <v>233</v>
      </c>
      <c r="F107" s="1051" t="s">
        <v>234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75" hidden="1" thickTop="1" thickBot="1">
      <c r="A109" s="1047"/>
      <c r="B109" s="102" t="s">
        <v>152</v>
      </c>
      <c r="C109" s="1052" t="s">
        <v>235</v>
      </c>
      <c r="D109" s="1052" t="s">
        <v>236</v>
      </c>
      <c r="E109" s="1052" t="s">
        <v>237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75" hidden="1" thickTop="1" thickBot="1">
      <c r="A111" s="1048"/>
      <c r="B111" s="102" t="s">
        <v>153</v>
      </c>
      <c r="C111" s="1052" t="s">
        <v>238</v>
      </c>
      <c r="D111" s="1052" t="s">
        <v>239</v>
      </c>
      <c r="E111" s="1052" t="s">
        <v>240</v>
      </c>
      <c r="F111" s="1052" t="s">
        <v>241</v>
      </c>
      <c r="G111" s="1052" t="s">
        <v>242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75" hidden="1" thickTop="1" thickBot="1">
      <c r="A113" s="1047"/>
      <c r="B113" s="102" t="s">
        <v>154</v>
      </c>
      <c r="C113" s="1052" t="s">
        <v>243</v>
      </c>
      <c r="D113" s="1052" t="s">
        <v>244</v>
      </c>
      <c r="E113" s="1051" t="s">
        <v>245</v>
      </c>
      <c r="F113" s="1051" t="s">
        <v>246</v>
      </c>
      <c r="G113" s="1051" t="s">
        <v>247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75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75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>
      <c r="A119" s="1049" t="str">
        <f>A45</f>
        <v>实物状况</v>
      </c>
      <c r="B119" s="97"/>
      <c r="C119" s="1055" t="s">
        <v>1546</v>
      </c>
      <c r="D119" s="1055" t="s">
        <v>1547</v>
      </c>
      <c r="E119" s="1055" t="s">
        <v>1548</v>
      </c>
      <c r="F119" s="1055" t="s">
        <v>1549</v>
      </c>
      <c r="G119" s="1055" t="s">
        <v>1550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1504</v>
      </c>
      <c r="C1" s="956">
        <f>主表!B3</f>
        <v>42139</v>
      </c>
      <c r="D1" s="917" t="str">
        <f>主表!A23</f>
        <v>建设期</v>
      </c>
      <c r="E1" s="917">
        <f>主表!B23</f>
        <v>0</v>
      </c>
      <c r="F1" s="917" t="s">
        <v>1505</v>
      </c>
      <c r="G1" s="918">
        <f ca="1">INDIRECT("d"&amp;$K$1)/100</f>
        <v>0</v>
      </c>
      <c r="H1" s="917" t="s">
        <v>1506</v>
      </c>
      <c r="I1" s="918">
        <f>SUMIF(F4:F8,E1,G4:G8)/100</f>
        <v>0</v>
      </c>
      <c r="J1" s="1076">
        <f>IF(C1&gt;C14,0,MATCH(C1,C$14:C$68,-1))+IF(SUMIF(C14:C68,C1,D14:D68)=0,14,13)</f>
        <v>26</v>
      </c>
      <c r="K1" s="1076">
        <f ca="1">MATCH(E1,C4:C8,1)+IF(SUMIF(C4:C8,E1,D4:D8)=0,3,2)</f>
        <v>3</v>
      </c>
      <c r="L1" s="1076">
        <f>IF(C1&gt;M14,0,MATCH(C1,M$14:M$52,-1))+IF(SUMIF(M14:M52,C1,N14:N52)=0,14,13)</f>
        <v>17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1199</v>
      </c>
      <c r="C2" s="956">
        <f>主表!B4</f>
        <v>42139</v>
      </c>
      <c r="D2" s="955" t="str">
        <f>主表!A24</f>
        <v>土地开发期</v>
      </c>
      <c r="E2" s="917">
        <f>主表!B24</f>
        <v>0</v>
      </c>
      <c r="F2" s="917" t="s">
        <v>1505</v>
      </c>
      <c r="G2" s="918">
        <f ca="1">INDIRECT("e"&amp;$K$2)/100</f>
        <v>0.03</v>
      </c>
      <c r="H2" s="917" t="s">
        <v>1506</v>
      </c>
      <c r="I2" s="918">
        <f>SUMIF(F4:F8,E2,G4:G8)/100</f>
        <v>0</v>
      </c>
      <c r="J2" s="1076">
        <f>IF(C2&gt;C14,0,MATCH(C2,C$14:C$68,-1))+IF(SUMIF(C14:C68,C2,D14:D68)=0,14,13)</f>
        <v>26</v>
      </c>
      <c r="K2" s="1076">
        <f ca="1">MATCH(E2,C4:C8,1)+IF(SUMIF(C4:C8,E2,D4:D8)=0,3,2)</f>
        <v>3</v>
      </c>
      <c r="L2" s="1076">
        <f>IF(C2&gt;M14,0,MATCH(C2,M$14:M$52,-1))+IF(SUMIF(M14:M52,C2,N14:N52)=0,14,13)</f>
        <v>17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1505</v>
      </c>
      <c r="G3" s="962">
        <f ca="1">INDIRECT("e"&amp;$K$3)/100</f>
        <v>5.5E-2</v>
      </c>
      <c r="H3" s="961" t="s">
        <v>1506</v>
      </c>
      <c r="I3" s="962">
        <f ca="1">SUMIF(F4:F8,E3,H4:H8)/100</f>
        <v>3.5000000000000003E-2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1507</v>
      </c>
      <c r="C4" s="950">
        <v>0</v>
      </c>
      <c r="D4" s="949">
        <f ca="1">INDIRECT("d"&amp;$J$1)</f>
        <v>5.0999999999999996</v>
      </c>
      <c r="E4" s="949">
        <f ca="1">INDIRECT("d"&amp;$J$2)</f>
        <v>5.0999999999999996</v>
      </c>
      <c r="F4" s="950">
        <v>0.5</v>
      </c>
      <c r="G4" s="951">
        <f ca="1">INDIRECT("p"&amp;$L$1)</f>
        <v>2.0499999999999998</v>
      </c>
      <c r="H4" s="951">
        <f ca="1">INDIRECT("p"&amp;$L$2)</f>
        <v>2.0499999999999998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1508</v>
      </c>
      <c r="C5" s="924">
        <v>0.5</v>
      </c>
      <c r="D5" s="925">
        <f ca="1">INDIRECT("e"&amp;$J$1)</f>
        <v>5.0999999999999996</v>
      </c>
      <c r="E5" s="925">
        <f ca="1">INDIRECT("e"&amp;$J$2)</f>
        <v>5.0999999999999996</v>
      </c>
      <c r="F5" s="924">
        <v>1</v>
      </c>
      <c r="G5" s="917">
        <f ca="1">INDIRECT("q"&amp;$L$1)</f>
        <v>2.25</v>
      </c>
      <c r="H5" s="917">
        <f ca="1">INDIRECT("q"&amp;$L$2)</f>
        <v>2.25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1509</v>
      </c>
      <c r="C6" s="924">
        <v>1</v>
      </c>
      <c r="D6" s="925">
        <f ca="1">INDIRECT("f"&amp;$J$1)</f>
        <v>5.5</v>
      </c>
      <c r="E6" s="925">
        <f ca="1">INDIRECT("f"&amp;$J$2)</f>
        <v>5.5</v>
      </c>
      <c r="F6" s="924">
        <v>2</v>
      </c>
      <c r="G6" s="917">
        <f ca="1">INDIRECT("r"&amp;$L$1)</f>
        <v>2.85</v>
      </c>
      <c r="H6" s="917">
        <f ca="1">INDIRECT("r"&amp;$L$2)</f>
        <v>2.85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1510</v>
      </c>
      <c r="C7" s="924">
        <v>3</v>
      </c>
      <c r="D7" s="925">
        <f ca="1">INDIRECT("g"&amp;$J$1)</f>
        <v>5.5</v>
      </c>
      <c r="E7" s="925">
        <f ca="1">INDIRECT("g"&amp;$J$2)</f>
        <v>5.5</v>
      </c>
      <c r="F7" s="924">
        <v>3</v>
      </c>
      <c r="G7" s="917">
        <f ca="1">INDIRECT("s"&amp;$L$1)</f>
        <v>3.5</v>
      </c>
      <c r="H7" s="917">
        <f ca="1">INDIRECT("s"&amp;$L$2)</f>
        <v>3.5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1511</v>
      </c>
      <c r="C8" s="924">
        <v>5</v>
      </c>
      <c r="D8" s="925">
        <f ca="1">INDIRECT("h"&amp;$J$1)</f>
        <v>5.65</v>
      </c>
      <c r="E8" s="925">
        <f ca="1">INDIRECT("h"&amp;$J$2)</f>
        <v>5.65</v>
      </c>
      <c r="F8" s="924">
        <v>5</v>
      </c>
      <c r="G8" s="917">
        <f ca="1">INDIRECT("t"&amp;$L$1)</f>
        <v>0</v>
      </c>
      <c r="H8" s="917">
        <f ca="1">INDIRECT("t"&amp;$L$2)</f>
        <v>0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1512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1513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1514</v>
      </c>
      <c r="C12" s="931" t="s">
        <v>1515</v>
      </c>
      <c r="D12" s="932" t="s">
        <v>1516</v>
      </c>
      <c r="E12" s="933"/>
      <c r="F12" s="932" t="s">
        <v>1517</v>
      </c>
      <c r="G12" s="934"/>
      <c r="H12" s="933"/>
      <c r="I12" s="932" t="s">
        <v>1518</v>
      </c>
      <c r="J12" s="933"/>
      <c r="K12" s="929"/>
      <c r="L12" s="930" t="s">
        <v>1514</v>
      </c>
      <c r="M12" s="931" t="s">
        <v>1515</v>
      </c>
      <c r="N12" s="930" t="s">
        <v>1519</v>
      </c>
      <c r="O12" s="932" t="s">
        <v>1520</v>
      </c>
      <c r="P12" s="934"/>
      <c r="Q12" s="934"/>
      <c r="R12" s="934"/>
      <c r="S12" s="934"/>
      <c r="T12" s="933"/>
      <c r="U12" s="932" t="s">
        <v>1521</v>
      </c>
      <c r="V12" s="934"/>
      <c r="W12" s="933"/>
      <c r="X12" s="930" t="s">
        <v>1522</v>
      </c>
      <c r="Y12" s="930" t="s">
        <v>1523</v>
      </c>
      <c r="Z12" s="930" t="s">
        <v>1524</v>
      </c>
    </row>
    <row r="13" spans="1:26" s="935" customFormat="1">
      <c r="A13" s="929"/>
      <c r="B13" s="936"/>
      <c r="C13" s="937"/>
      <c r="D13" s="923" t="s">
        <v>1507</v>
      </c>
      <c r="E13" s="923" t="s">
        <v>1508</v>
      </c>
      <c r="F13" s="923" t="s">
        <v>1509</v>
      </c>
      <c r="G13" s="923" t="s">
        <v>1510</v>
      </c>
      <c r="H13" s="923" t="s">
        <v>1511</v>
      </c>
      <c r="I13" s="938" t="s">
        <v>1525</v>
      </c>
      <c r="J13" s="938" t="s">
        <v>1525</v>
      </c>
      <c r="K13" s="929"/>
      <c r="L13" s="936"/>
      <c r="M13" s="937"/>
      <c r="N13" s="936"/>
      <c r="O13" s="938" t="s">
        <v>1526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1527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1527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4" t="s">
        <v>1783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1528</v>
      </c>
      <c r="Y43" s="944" t="s">
        <v>1528</v>
      </c>
      <c r="Z43" s="944" t="s">
        <v>1528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1528</v>
      </c>
      <c r="Y44" s="944" t="s">
        <v>1528</v>
      </c>
      <c r="Z44" s="944" t="s">
        <v>1528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1528</v>
      </c>
      <c r="Y45" s="944" t="s">
        <v>1528</v>
      </c>
      <c r="Z45" s="944" t="s">
        <v>1528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1528</v>
      </c>
      <c r="Y46" s="944" t="s">
        <v>1528</v>
      </c>
      <c r="Z46" s="944" t="s">
        <v>1528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1528</v>
      </c>
      <c r="Y47" s="944" t="s">
        <v>1528</v>
      </c>
      <c r="Z47" s="944" t="s">
        <v>1528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1528</v>
      </c>
      <c r="Y48" s="944" t="s">
        <v>1528</v>
      </c>
      <c r="Z48" s="944" t="s">
        <v>1528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1528</v>
      </c>
      <c r="Y49" s="944" t="s">
        <v>1528</v>
      </c>
      <c r="Z49" s="944" t="s">
        <v>1528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1528</v>
      </c>
      <c r="Y50" s="944" t="s">
        <v>1528</v>
      </c>
      <c r="Z50" s="944" t="s">
        <v>1528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1528</v>
      </c>
      <c r="Y51" s="944" t="s">
        <v>1528</v>
      </c>
      <c r="Z51" s="944" t="s">
        <v>1528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1528</v>
      </c>
      <c r="V52" s="944" t="s">
        <v>1528</v>
      </c>
      <c r="W52" s="944" t="s">
        <v>1528</v>
      </c>
      <c r="X52" s="944" t="s">
        <v>1528</v>
      </c>
      <c r="Y52" s="944" t="s">
        <v>1528</v>
      </c>
      <c r="Z52" s="944" t="s">
        <v>1528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1528</v>
      </c>
      <c r="J65" s="944" t="s">
        <v>1528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1699</v>
      </c>
      <c r="C1" s="1500"/>
      <c r="D1" s="1500"/>
      <c r="F1" s="1500"/>
    </row>
    <row r="2" spans="1:32" s="1499" customFormat="1" ht="13.5" thickBot="1">
      <c r="B2" s="1500" t="s">
        <v>1634</v>
      </c>
      <c r="C2" s="1500"/>
      <c r="D2" s="1500"/>
      <c r="F2" s="1500"/>
      <c r="G2" s="1789" t="s">
        <v>1635</v>
      </c>
      <c r="H2" s="1789"/>
      <c r="I2" s="1789"/>
      <c r="J2" s="1789"/>
      <c r="K2" s="1789"/>
      <c r="L2" s="1789"/>
      <c r="N2" s="1784" t="s">
        <v>1636</v>
      </c>
      <c r="O2" s="1784"/>
      <c r="P2" s="1784"/>
      <c r="Q2" s="1784"/>
      <c r="S2" s="1784" t="s">
        <v>1637</v>
      </c>
      <c r="T2" s="1784"/>
      <c r="U2" s="1784"/>
      <c r="V2" s="1784"/>
    </row>
    <row r="3" spans="1:32" s="1499" customFormat="1" ht="14.25">
      <c r="B3" s="1501" t="s">
        <v>1693</v>
      </c>
      <c r="C3" s="1501" t="s">
        <v>41</v>
      </c>
      <c r="D3" s="1502" t="s">
        <v>1296</v>
      </c>
      <c r="E3" s="1502" t="s">
        <v>1297</v>
      </c>
      <c r="F3" s="1501" t="s">
        <v>49</v>
      </c>
      <c r="G3" s="1503" t="s">
        <v>1738</v>
      </c>
      <c r="H3" s="1503" t="s">
        <v>1739</v>
      </c>
      <c r="I3" s="1504" t="s">
        <v>1693</v>
      </c>
      <c r="J3" s="1504" t="s">
        <v>1698</v>
      </c>
      <c r="K3" s="1502" t="s">
        <v>1297</v>
      </c>
      <c r="L3" s="1504" t="s">
        <v>49</v>
      </c>
      <c r="N3" s="1504" t="s">
        <v>1693</v>
      </c>
      <c r="O3" s="1504" t="s">
        <v>1698</v>
      </c>
      <c r="P3" s="1502" t="s">
        <v>1297</v>
      </c>
      <c r="Q3" s="1504" t="s">
        <v>49</v>
      </c>
      <c r="S3" s="1504" t="s">
        <v>1693</v>
      </c>
      <c r="T3" s="1504" t="s">
        <v>1698</v>
      </c>
      <c r="U3" s="1502" t="s">
        <v>1297</v>
      </c>
      <c r="V3" s="1504" t="s">
        <v>49</v>
      </c>
    </row>
    <row r="4" spans="1:32" s="1510" customFormat="1" ht="14.25">
      <c r="A4" s="1505" t="s">
        <v>1741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1788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1742</v>
      </c>
      <c r="Y6" s="1528"/>
      <c r="Z6" s="1528"/>
      <c r="AA6" s="1528"/>
    </row>
    <row r="7" spans="1:32">
      <c r="A7" s="1529" t="s">
        <v>1787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1786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1785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1784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1782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1781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1780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1779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1758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1757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1755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1756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1750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2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1745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2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1744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2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1743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90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1740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5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1737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2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1638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2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1639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90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275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5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274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2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264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2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273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3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272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1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271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2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270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2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269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3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268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1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267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2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266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2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265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3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1640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6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1641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7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1642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7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1643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8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1644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1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1645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2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1646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2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1647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3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1648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1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1649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2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1650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2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1651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3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1652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1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1653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2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1654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2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1655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3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1656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1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1657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2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1658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2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1659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3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1660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1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1661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2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1662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2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1663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3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1664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1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1665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2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1666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2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1667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3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1668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1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1669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2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1670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2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1671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3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1672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1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1673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2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1674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2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1675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3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1676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1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1677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2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1678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2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1679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3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1680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1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1681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2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1682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2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1683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3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1684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1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1685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2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1686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2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1687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3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1694</v>
      </c>
      <c r="G89" s="1613"/>
      <c r="N89" s="1613"/>
      <c r="S89" s="1613"/>
    </row>
    <row r="90" spans="1:32" s="1612" customFormat="1">
      <c r="A90" s="1612" t="s">
        <v>1695</v>
      </c>
      <c r="G90" s="1613"/>
      <c r="N90" s="1613"/>
      <c r="S90" s="1613"/>
    </row>
    <row r="91" spans="1:32" s="1612" customFormat="1">
      <c r="A91" s="1612" t="s">
        <v>1696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1697</v>
      </c>
      <c r="G92" s="1613"/>
      <c r="N92" s="1613"/>
      <c r="S92" s="1613"/>
    </row>
    <row r="99" spans="14:29" ht="13.5" thickBot="1"/>
    <row r="100" spans="14:29" ht="24">
      <c r="S100" s="1616" t="s">
        <v>1688</v>
      </c>
      <c r="T100" s="1558" t="s">
        <v>1689</v>
      </c>
      <c r="U100" s="1558" t="s">
        <v>1690</v>
      </c>
      <c r="V100" s="1558" t="s">
        <v>1691</v>
      </c>
      <c r="W100" s="1559" t="s">
        <v>1692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155</v>
      </c>
      <c r="B1" s="12" t="s">
        <v>58</v>
      </c>
      <c r="C1" s="365" t="s">
        <v>968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951</v>
      </c>
      <c r="Q1" s="1" t="s">
        <v>1180</v>
      </c>
      <c r="R1" s="224" t="s">
        <v>1181</v>
      </c>
      <c r="S1" s="13" t="s">
        <v>71</v>
      </c>
      <c r="T1" s="14" t="s">
        <v>72</v>
      </c>
      <c r="U1" s="13" t="s">
        <v>73</v>
      </c>
      <c r="V1" s="13" t="s">
        <v>74</v>
      </c>
      <c r="W1" s="224" t="s">
        <v>952</v>
      </c>
      <c r="X1" s="224" t="s">
        <v>1142</v>
      </c>
      <c r="Y1" s="224" t="s">
        <v>1148</v>
      </c>
    </row>
    <row r="2" spans="1:25">
      <c r="A2" s="604" t="s">
        <v>18</v>
      </c>
      <c r="B2" s="604" t="s">
        <v>1343</v>
      </c>
      <c r="C2" s="366" t="s">
        <v>969</v>
      </c>
      <c r="D2" s="15" t="s">
        <v>35</v>
      </c>
      <c r="E2" s="15" t="s">
        <v>75</v>
      </c>
      <c r="F2" s="15" t="s">
        <v>76</v>
      </c>
      <c r="G2" s="15">
        <v>40</v>
      </c>
      <c r="H2" s="474" t="s">
        <v>1751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179" t="s">
        <v>1182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464" t="s">
        <v>1152</v>
      </c>
      <c r="Y2" s="179" t="s">
        <v>1144</v>
      </c>
    </row>
    <row r="3" spans="1:25">
      <c r="A3" s="604" t="s">
        <v>174</v>
      </c>
      <c r="B3" s="604" t="s">
        <v>1344</v>
      </c>
      <c r="C3" s="366" t="s">
        <v>970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179" t="s">
        <v>1183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464" t="s">
        <v>1153</v>
      </c>
      <c r="Y3" s="179" t="s">
        <v>1146</v>
      </c>
    </row>
    <row r="4" spans="1:25">
      <c r="A4" s="604" t="s">
        <v>175</v>
      </c>
      <c r="B4" s="604" t="s">
        <v>1350</v>
      </c>
      <c r="C4" s="366" t="s">
        <v>971</v>
      </c>
      <c r="D4" s="15" t="s">
        <v>3</v>
      </c>
      <c r="E4" s="15" t="s">
        <v>79</v>
      </c>
      <c r="F4" s="15" t="s">
        <v>80</v>
      </c>
      <c r="G4" s="15">
        <v>70</v>
      </c>
      <c r="H4" s="474" t="s">
        <v>1296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179" t="s">
        <v>1184</v>
      </c>
      <c r="S4" s="15" t="s">
        <v>47</v>
      </c>
      <c r="T4" s="15" t="s">
        <v>48</v>
      </c>
      <c r="U4" s="15" t="s">
        <v>47</v>
      </c>
      <c r="W4" s="15" t="s">
        <v>47</v>
      </c>
      <c r="X4" s="464" t="s">
        <v>1154</v>
      </c>
      <c r="Y4" s="179" t="s">
        <v>1149</v>
      </c>
    </row>
    <row r="5" spans="1:25">
      <c r="A5" s="604" t="s">
        <v>176</v>
      </c>
      <c r="B5" s="1092" t="s">
        <v>1551</v>
      </c>
      <c r="C5" s="366" t="s">
        <v>972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179" t="s">
        <v>1185</v>
      </c>
      <c r="S5" s="15" t="s">
        <v>51</v>
      </c>
      <c r="T5" s="15" t="s">
        <v>52</v>
      </c>
      <c r="U5" s="15" t="s">
        <v>51</v>
      </c>
      <c r="W5" s="15" t="s">
        <v>51</v>
      </c>
      <c r="X5" s="464" t="s">
        <v>1259</v>
      </c>
      <c r="Y5" s="180"/>
    </row>
    <row r="6" spans="1:25">
      <c r="A6" s="604" t="s">
        <v>177</v>
      </c>
      <c r="B6" s="178" t="s">
        <v>964</v>
      </c>
      <c r="C6" s="367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179" t="s">
        <v>1186</v>
      </c>
      <c r="S6" s="15" t="s">
        <v>55</v>
      </c>
      <c r="T6" s="15"/>
      <c r="U6" s="15" t="s">
        <v>55</v>
      </c>
      <c r="W6" s="15" t="s">
        <v>55</v>
      </c>
      <c r="X6" s="464" t="s">
        <v>1260</v>
      </c>
      <c r="Y6" s="180"/>
    </row>
    <row r="7" spans="1:25">
      <c r="A7" s="604" t="s">
        <v>178</v>
      </c>
      <c r="B7" s="178" t="s">
        <v>964</v>
      </c>
      <c r="C7" s="366" t="s">
        <v>31</v>
      </c>
      <c r="F7" s="15" t="s">
        <v>56</v>
      </c>
      <c r="H7" s="15"/>
      <c r="I7" s="15" t="s">
        <v>57</v>
      </c>
      <c r="X7" s="464" t="s">
        <v>1261</v>
      </c>
    </row>
    <row r="8" spans="1:25">
      <c r="A8" s="604" t="s">
        <v>179</v>
      </c>
      <c r="B8" s="178" t="s">
        <v>964</v>
      </c>
      <c r="C8" s="366" t="s">
        <v>973</v>
      </c>
      <c r="F8" s="15" t="s">
        <v>82</v>
      </c>
      <c r="H8" s="15"/>
      <c r="I8" s="15" t="s">
        <v>83</v>
      </c>
      <c r="X8" s="464" t="s">
        <v>1262</v>
      </c>
    </row>
    <row r="9" spans="1:25">
      <c r="A9" s="604" t="s">
        <v>180</v>
      </c>
      <c r="B9" s="178" t="s">
        <v>964</v>
      </c>
      <c r="C9" s="366" t="s">
        <v>974</v>
      </c>
      <c r="F9" s="15" t="s">
        <v>84</v>
      </c>
      <c r="H9" s="15"/>
    </row>
    <row r="10" spans="1:25">
      <c r="A10" s="604" t="s">
        <v>181</v>
      </c>
      <c r="B10" s="178" t="s">
        <v>964</v>
      </c>
      <c r="C10" s="366" t="s">
        <v>975</v>
      </c>
      <c r="F10" s="15" t="s">
        <v>3</v>
      </c>
    </row>
    <row r="11" spans="1:25">
      <c r="A11" s="604" t="s">
        <v>182</v>
      </c>
      <c r="B11" s="178" t="s">
        <v>964</v>
      </c>
      <c r="C11" s="366" t="s">
        <v>976</v>
      </c>
    </row>
    <row r="12" spans="1:25">
      <c r="A12" s="604" t="s">
        <v>183</v>
      </c>
      <c r="B12" s="178" t="s">
        <v>964</v>
      </c>
      <c r="C12" s="366" t="s">
        <v>977</v>
      </c>
    </row>
    <row r="13" spans="1:25">
      <c r="A13" s="604" t="s">
        <v>184</v>
      </c>
      <c r="B13" s="178" t="s">
        <v>964</v>
      </c>
      <c r="C13" s="366" t="s">
        <v>978</v>
      </c>
    </row>
    <row r="14" spans="1:25">
      <c r="A14" s="604" t="s">
        <v>185</v>
      </c>
      <c r="B14" s="178" t="s">
        <v>964</v>
      </c>
      <c r="C14" s="368"/>
    </row>
    <row r="15" spans="1:25">
      <c r="A15" s="604" t="s">
        <v>186</v>
      </c>
      <c r="B15" s="178" t="s">
        <v>964</v>
      </c>
      <c r="C15" s="368"/>
    </row>
    <row r="16" spans="1:25">
      <c r="A16" s="604" t="s">
        <v>187</v>
      </c>
      <c r="B16" s="178" t="s">
        <v>964</v>
      </c>
      <c r="C16" s="368"/>
    </row>
    <row r="17" spans="1:3">
      <c r="A17" s="604" t="s">
        <v>188</v>
      </c>
      <c r="B17" s="178" t="s">
        <v>964</v>
      </c>
      <c r="C17" s="368"/>
    </row>
    <row r="18" spans="1:3">
      <c r="A18" s="604" t="s">
        <v>189</v>
      </c>
      <c r="B18" s="178" t="s">
        <v>964</v>
      </c>
      <c r="C18" s="368"/>
    </row>
    <row r="19" spans="1:3">
      <c r="A19" s="604" t="s">
        <v>190</v>
      </c>
      <c r="B19" s="178" t="s">
        <v>964</v>
      </c>
      <c r="C19" s="368"/>
    </row>
    <row r="20" spans="1:3">
      <c r="A20" s="604" t="s">
        <v>191</v>
      </c>
      <c r="B20" s="178" t="s">
        <v>964</v>
      </c>
      <c r="C20" s="368"/>
    </row>
    <row r="21" spans="1:3">
      <c r="A21" s="604" t="s">
        <v>192</v>
      </c>
      <c r="B21" s="178" t="s">
        <v>964</v>
      </c>
      <c r="C21" s="368"/>
    </row>
    <row r="22" spans="1:3">
      <c r="A22" s="604" t="s">
        <v>193</v>
      </c>
      <c r="B22" s="178" t="s">
        <v>964</v>
      </c>
      <c r="C22" s="368"/>
    </row>
    <row r="23" spans="1:3">
      <c r="A23" s="604" t="s">
        <v>194</v>
      </c>
      <c r="B23" s="178" t="s">
        <v>964</v>
      </c>
      <c r="C23" s="368"/>
    </row>
    <row r="24" spans="1:3">
      <c r="A24" s="604" t="s">
        <v>195</v>
      </c>
      <c r="B24" s="178" t="s">
        <v>964</v>
      </c>
      <c r="C24" s="368"/>
    </row>
    <row r="25" spans="1:3">
      <c r="A25" s="604" t="s">
        <v>196</v>
      </c>
      <c r="B25" s="178" t="s">
        <v>964</v>
      </c>
      <c r="C25" s="368"/>
    </row>
    <row r="26" spans="1:3">
      <c r="A26" s="604" t="s">
        <v>197</v>
      </c>
      <c r="B26" s="178" t="s">
        <v>964</v>
      </c>
      <c r="C26" s="368"/>
    </row>
    <row r="27" spans="1:3">
      <c r="A27" s="178" t="s">
        <v>964</v>
      </c>
      <c r="B27" s="178" t="s">
        <v>964</v>
      </c>
      <c r="C27" s="368"/>
    </row>
    <row r="28" spans="1:3">
      <c r="A28" s="178" t="s">
        <v>964</v>
      </c>
      <c r="B28" s="178" t="s">
        <v>964</v>
      </c>
      <c r="C28" s="368"/>
    </row>
    <row r="29" spans="1:3">
      <c r="A29" s="178" t="s">
        <v>964</v>
      </c>
      <c r="B29" s="178" t="s">
        <v>964</v>
      </c>
      <c r="C29" s="368"/>
    </row>
    <row r="30" spans="1:3">
      <c r="A30" s="178" t="s">
        <v>964</v>
      </c>
      <c r="B30" s="178" t="s">
        <v>964</v>
      </c>
      <c r="C30" s="368"/>
    </row>
    <row r="31" spans="1:3">
      <c r="A31" s="178" t="s">
        <v>964</v>
      </c>
      <c r="B31" s="178" t="s">
        <v>964</v>
      </c>
      <c r="C31" s="368"/>
    </row>
    <row r="32" spans="1:3">
      <c r="A32" s="178" t="s">
        <v>964</v>
      </c>
      <c r="B32" s="178" t="s">
        <v>964</v>
      </c>
      <c r="C32" s="368"/>
    </row>
    <row r="33" spans="1:3">
      <c r="A33" s="178" t="s">
        <v>964</v>
      </c>
      <c r="B33" s="178" t="s">
        <v>964</v>
      </c>
      <c r="C33" s="368"/>
    </row>
    <row r="34" spans="1:3">
      <c r="A34" s="178" t="s">
        <v>964</v>
      </c>
      <c r="B34" s="178" t="s">
        <v>964</v>
      </c>
      <c r="C34" s="368"/>
    </row>
    <row r="35" spans="1:3">
      <c r="A35" s="178" t="s">
        <v>964</v>
      </c>
      <c r="B35" s="178" t="s">
        <v>964</v>
      </c>
      <c r="C35" s="368"/>
    </row>
    <row r="36" spans="1:3">
      <c r="A36" s="178" t="s">
        <v>964</v>
      </c>
      <c r="B36" s="178" t="s">
        <v>964</v>
      </c>
      <c r="C36" s="368"/>
    </row>
    <row r="37" spans="1:3">
      <c r="A37" s="178" t="s">
        <v>964</v>
      </c>
      <c r="B37" s="178" t="s">
        <v>964</v>
      </c>
      <c r="C37" s="368"/>
    </row>
    <row r="38" spans="1:3">
      <c r="A38" s="178" t="s">
        <v>964</v>
      </c>
      <c r="B38" s="178" t="s">
        <v>964</v>
      </c>
      <c r="C38" s="368"/>
    </row>
    <row r="39" spans="1:3">
      <c r="A39" s="178" t="s">
        <v>964</v>
      </c>
      <c r="B39" s="178" t="s">
        <v>964</v>
      </c>
      <c r="C39" s="368"/>
    </row>
    <row r="40" spans="1:3">
      <c r="A40" s="178" t="s">
        <v>964</v>
      </c>
      <c r="B40" s="178" t="s">
        <v>964</v>
      </c>
      <c r="C40" s="368"/>
    </row>
    <row r="41" spans="1:3">
      <c r="A41" s="178" t="s">
        <v>964</v>
      </c>
      <c r="B41" s="178" t="s">
        <v>964</v>
      </c>
      <c r="C41" s="368"/>
    </row>
    <row r="42" spans="1:3">
      <c r="A42" s="178" t="s">
        <v>964</v>
      </c>
      <c r="B42" s="178" t="s">
        <v>964</v>
      </c>
      <c r="C42" s="368"/>
    </row>
    <row r="43" spans="1:3">
      <c r="A43" s="178" t="s">
        <v>964</v>
      </c>
      <c r="B43" s="178" t="s">
        <v>964</v>
      </c>
      <c r="C43" s="368"/>
    </row>
    <row r="44" spans="1:3">
      <c r="A44" s="178" t="s">
        <v>964</v>
      </c>
      <c r="B44" s="178" t="s">
        <v>964</v>
      </c>
      <c r="C44" s="368"/>
    </row>
    <row r="45" spans="1:3">
      <c r="A45" s="178" t="s">
        <v>964</v>
      </c>
      <c r="B45" s="178" t="s">
        <v>964</v>
      </c>
      <c r="C45" s="368"/>
    </row>
    <row r="46" spans="1:3">
      <c r="A46" s="178" t="s">
        <v>964</v>
      </c>
      <c r="B46" s="178" t="s">
        <v>964</v>
      </c>
      <c r="C46" s="368"/>
    </row>
    <row r="47" spans="1:3">
      <c r="A47" s="178" t="s">
        <v>964</v>
      </c>
      <c r="B47" s="178" t="s">
        <v>964</v>
      </c>
      <c r="C47" s="368"/>
    </row>
    <row r="48" spans="1:3">
      <c r="A48" s="178" t="s">
        <v>964</v>
      </c>
      <c r="B48" s="178" t="s">
        <v>964</v>
      </c>
      <c r="C48" s="368"/>
    </row>
    <row r="49" spans="1:3">
      <c r="A49" s="178" t="s">
        <v>964</v>
      </c>
      <c r="B49" s="178" t="s">
        <v>964</v>
      </c>
      <c r="C49" s="368"/>
    </row>
    <row r="50" spans="1:3">
      <c r="A50" s="178" t="s">
        <v>964</v>
      </c>
      <c r="B50" s="178" t="s">
        <v>964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967</v>
      </c>
      <c r="H1" s="233">
        <f>'2014基准地价'!M18</f>
        <v>5</v>
      </c>
      <c r="I1" s="673" t="s">
        <v>1631</v>
      </c>
      <c r="J1" s="542" t="str">
        <f>'2014基准地价'!N19</f>
        <v>2014-2</v>
      </c>
      <c r="K1" s="280"/>
      <c r="L1" s="1339" t="s">
        <v>967</v>
      </c>
      <c r="M1" s="233">
        <f>'2002基准地价'!B24</f>
        <v>54</v>
      </c>
      <c r="N1" s="673" t="s">
        <v>1631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262</v>
      </c>
      <c r="B3" s="1326" t="s">
        <v>276</v>
      </c>
      <c r="C3" s="1326" t="s">
        <v>278</v>
      </c>
      <c r="D3" s="1326" t="s">
        <v>1298</v>
      </c>
      <c r="E3" s="1326" t="s">
        <v>1345</v>
      </c>
      <c r="F3" s="1330" t="s">
        <v>2</v>
      </c>
      <c r="G3" s="1333" t="s">
        <v>276</v>
      </c>
      <c r="H3" s="1326" t="s">
        <v>0</v>
      </c>
      <c r="I3" s="1326" t="s">
        <v>1298</v>
      </c>
      <c r="J3" s="1326" t="s">
        <v>1345</v>
      </c>
      <c r="K3" s="1330" t="s">
        <v>2</v>
      </c>
      <c r="L3" s="1333" t="s">
        <v>276</v>
      </c>
      <c r="M3" s="1326" t="s">
        <v>0</v>
      </c>
      <c r="N3" s="1326" t="s">
        <v>1298</v>
      </c>
      <c r="O3" s="1326" t="s">
        <v>1345</v>
      </c>
      <c r="P3" s="1326" t="s">
        <v>2</v>
      </c>
    </row>
    <row r="4" spans="1:23">
      <c r="A4" s="623" t="s">
        <v>1582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1179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1178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4.25" thickBot="1">
      <c r="A7" s="623" t="s">
        <v>1177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 ht="14.25">
      <c r="A8" s="623" t="s">
        <v>275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 ht="14.25">
      <c r="A9" s="623" t="s">
        <v>274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 ht="14.25">
      <c r="A10" s="623" t="s">
        <v>264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 ht="14.25">
      <c r="A11" s="623" t="s">
        <v>273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272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 ht="14.25">
      <c r="A13" s="623" t="s">
        <v>271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 ht="14.25">
      <c r="A14" s="623" t="s">
        <v>270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 ht="14.25">
      <c r="A15" s="623" t="s">
        <v>269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268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 ht="14.25">
      <c r="A17" s="623" t="s">
        <v>267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 ht="14.25">
      <c r="A18" s="623" t="s">
        <v>266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 ht="14.25">
      <c r="A19" s="623" t="s">
        <v>265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1583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 ht="14.25">
      <c r="A21" s="623" t="s">
        <v>1584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 ht="14.25">
      <c r="A22" s="623" t="s">
        <v>1585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 ht="14.25">
      <c r="A23" s="623" t="s">
        <v>1586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1590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 ht="14.25">
      <c r="A25" s="623" t="s">
        <v>1591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 ht="14.25">
      <c r="A26" s="623" t="s">
        <v>1592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 ht="14.25">
      <c r="A27" s="623" t="s">
        <v>1593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1594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 ht="14.25">
      <c r="A29" s="623" t="s">
        <v>1595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 ht="14.25">
      <c r="A30" s="623" t="s">
        <v>1596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 ht="14.25">
      <c r="A31" s="623" t="s">
        <v>1597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1598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 ht="14.25">
      <c r="A33" s="623" t="s">
        <v>1599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 ht="14.25">
      <c r="A34" s="623" t="s">
        <v>1600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 ht="14.25">
      <c r="A35" s="623" t="s">
        <v>1601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1602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 ht="14.25">
      <c r="A37" s="623" t="s">
        <v>1603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 ht="14.25">
      <c r="A38" s="623" t="s">
        <v>1604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 ht="14.25">
      <c r="A39" s="623" t="s">
        <v>1605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1606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 ht="14.25">
      <c r="A41" s="623" t="s">
        <v>1607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 ht="14.25">
      <c r="A42" s="623" t="s">
        <v>1608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 ht="14.25">
      <c r="A43" s="623" t="s">
        <v>1609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1610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 ht="14.25">
      <c r="A45" s="623" t="s">
        <v>1611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 ht="14.25">
      <c r="A46" s="623" t="s">
        <v>1612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 ht="14.25">
      <c r="A47" s="623" t="s">
        <v>1613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1614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 ht="14.25">
      <c r="A49" s="623" t="s">
        <v>1587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 ht="14.25">
      <c r="A50" s="623" t="s">
        <v>1588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 ht="14.25">
      <c r="A51" s="623" t="s">
        <v>1589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1615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 ht="14.25">
      <c r="A53" s="623" t="s">
        <v>1616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 ht="14.25">
      <c r="A54" s="623" t="s">
        <v>1617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 ht="14.25">
      <c r="A55" s="623" t="s">
        <v>1618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1619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 ht="14.25">
      <c r="A57" s="623" t="s">
        <v>1620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1621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1622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1623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 ht="14.25">
      <c r="A61" s="623" t="s">
        <v>1624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1625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1626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1627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 ht="14.25">
      <c r="A65" s="623" t="s">
        <v>1628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1629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1630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8" customWidth="1"/>
    <col min="3" max="3" width="45.5" style="1208" customWidth="1"/>
    <col min="4" max="4" width="2.625" style="1208" customWidth="1"/>
    <col min="5" max="5" width="5.875" style="1208" customWidth="1"/>
    <col min="6" max="6" width="30.25" style="1208" customWidth="1"/>
    <col min="7" max="7" width="41.875" style="1208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203</v>
      </c>
      <c r="B1" s="461"/>
      <c r="C1" s="461"/>
      <c r="D1" s="1181"/>
      <c r="E1" s="461"/>
      <c r="F1" s="461"/>
      <c r="G1" s="461"/>
    </row>
    <row r="2" spans="1:17" ht="19.5" thickBot="1">
      <c r="A2" s="1182"/>
      <c r="B2" s="1183"/>
      <c r="C2" s="1184" t="s">
        <v>204</v>
      </c>
      <c r="D2" s="1185"/>
      <c r="E2" s="1186"/>
      <c r="F2" s="1186"/>
      <c r="G2" s="1187" t="s">
        <v>205</v>
      </c>
    </row>
    <row r="3" spans="1:17" ht="75">
      <c r="A3" s="1188" t="s">
        <v>206</v>
      </c>
      <c r="B3" s="1189" t="s">
        <v>4</v>
      </c>
      <c r="C3" s="1190" t="s">
        <v>215</v>
      </c>
      <c r="D3" s="1185"/>
      <c r="E3" s="1191" t="s">
        <v>207</v>
      </c>
      <c r="F3" s="1189" t="s">
        <v>208</v>
      </c>
      <c r="G3" s="1192" t="s">
        <v>1732</v>
      </c>
    </row>
    <row r="4" spans="1:17" ht="56.25">
      <c r="A4" s="1193"/>
      <c r="B4" s="1194" t="s">
        <v>209</v>
      </c>
      <c r="C4" s="1195" t="s">
        <v>216</v>
      </c>
      <c r="D4" s="1185"/>
      <c r="E4" s="1196"/>
      <c r="F4" s="1197" t="s">
        <v>210</v>
      </c>
      <c r="G4" s="1198" t="s">
        <v>217</v>
      </c>
    </row>
    <row r="5" spans="1:17" ht="37.5">
      <c r="A5" s="1193"/>
      <c r="B5" s="1194" t="s">
        <v>211</v>
      </c>
      <c r="C5" s="1195" t="s">
        <v>218</v>
      </c>
      <c r="D5" s="1199"/>
      <c r="E5" s="1196"/>
      <c r="F5" s="1197" t="s">
        <v>212</v>
      </c>
      <c r="G5" s="1200" t="s">
        <v>950</v>
      </c>
    </row>
    <row r="6" spans="1:17" ht="56.25">
      <c r="A6" s="1193"/>
      <c r="B6" s="1197" t="s">
        <v>7</v>
      </c>
      <c r="C6" s="1198" t="s">
        <v>199</v>
      </c>
      <c r="D6" s="1199"/>
      <c r="E6" s="1196"/>
      <c r="F6" s="1197" t="s">
        <v>200</v>
      </c>
      <c r="G6" s="1198" t="s">
        <v>201</v>
      </c>
    </row>
    <row r="7" spans="1:17" ht="37.5">
      <c r="A7" s="1193"/>
      <c r="B7" s="1197" t="s">
        <v>11</v>
      </c>
      <c r="C7" s="1200" t="s">
        <v>950</v>
      </c>
      <c r="D7" s="1185"/>
      <c r="E7" s="1196"/>
      <c r="F7" s="1201" t="s">
        <v>1187</v>
      </c>
      <c r="G7" s="1192" t="s">
        <v>1189</v>
      </c>
    </row>
    <row r="8" spans="1:17" ht="37.5">
      <c r="A8" s="1193"/>
      <c r="B8" s="1197" t="s">
        <v>10</v>
      </c>
      <c r="C8" s="1195" t="s">
        <v>202</v>
      </c>
      <c r="D8" s="1199"/>
      <c r="E8" s="1196"/>
      <c r="F8" s="1201" t="s">
        <v>1188</v>
      </c>
      <c r="G8" s="1198" t="s">
        <v>1190</v>
      </c>
    </row>
    <row r="9" spans="1:17" ht="37.5">
      <c r="A9" s="1193"/>
      <c r="B9" s="1201" t="s">
        <v>1187</v>
      </c>
      <c r="C9" s="1198" t="s">
        <v>1189</v>
      </c>
      <c r="D9" s="1185"/>
      <c r="E9" s="1196"/>
      <c r="F9" s="1197" t="s">
        <v>9</v>
      </c>
      <c r="G9" s="1202"/>
    </row>
    <row r="10" spans="1:17">
      <c r="A10" s="1193"/>
      <c r="B10" s="1201" t="s">
        <v>1188</v>
      </c>
      <c r="C10" s="1198" t="s">
        <v>1190</v>
      </c>
      <c r="D10" s="1185"/>
      <c r="E10" s="1196"/>
      <c r="F10" s="1197" t="s">
        <v>213</v>
      </c>
      <c r="G10" s="1200"/>
    </row>
    <row r="11" spans="1:17" s="412" customFormat="1" ht="19.5" thickBot="1">
      <c r="A11" s="1193"/>
      <c r="B11" s="1197" t="s">
        <v>9</v>
      </c>
      <c r="C11" s="1202"/>
      <c r="D11" s="414"/>
      <c r="E11" s="1203"/>
      <c r="F11" s="1204" t="s">
        <v>214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1700</v>
      </c>
      <c r="B1" s="1627">
        <f>SUM(B14:B23)</f>
        <v>97.27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1701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1702</v>
      </c>
      <c r="B3" s="1630">
        <f>主表!B3</f>
        <v>42139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1703</v>
      </c>
      <c r="B4" s="1627" t="s">
        <v>1704</v>
      </c>
      <c r="C4" s="1627" t="s">
        <v>1705</v>
      </c>
      <c r="D4" s="1627" t="s">
        <v>1706</v>
      </c>
      <c r="E4" s="1625"/>
      <c r="F4" s="1628"/>
      <c r="G4" s="1628"/>
      <c r="H4" s="1628"/>
      <c r="I4" s="1628"/>
    </row>
    <row r="5" spans="1:9" ht="16.5">
      <c r="A5" s="1627" t="s">
        <v>1707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6.5">
      <c r="A6" s="1627" t="s">
        <v>1708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6.5">
      <c r="A7" s="1627" t="s">
        <v>1709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6.5">
      <c r="A8" s="1627" t="s">
        <v>1710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6.5">
      <c r="A9" s="1627" t="s">
        <v>1711</v>
      </c>
      <c r="B9" s="1450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1712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1731</v>
      </c>
      <c r="B11" s="1626">
        <f ca="1">结果表!B19</f>
        <v>0</v>
      </c>
      <c r="C11" s="1626">
        <f ca="1">结果表!B18</f>
        <v>0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1713</v>
      </c>
      <c r="B13" s="1632" t="s">
        <v>1714</v>
      </c>
      <c r="C13" s="1632" t="s">
        <v>1715</v>
      </c>
      <c r="D13" s="1632" t="s">
        <v>1716</v>
      </c>
      <c r="E13" s="1627" t="s">
        <v>1705</v>
      </c>
      <c r="F13" s="1627" t="s">
        <v>1717</v>
      </c>
      <c r="G13" s="1632" t="s">
        <v>1718</v>
      </c>
      <c r="H13" s="1632" t="s">
        <v>1719</v>
      </c>
      <c r="I13" s="1632" t="s">
        <v>1720</v>
      </c>
    </row>
    <row r="14" spans="1:9" ht="16.5">
      <c r="A14" s="1633" t="s">
        <v>1721</v>
      </c>
      <c r="B14" s="1634">
        <f>主表!B7</f>
        <v>97.27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6.5">
      <c r="A15" s="1633" t="s">
        <v>1722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6.5">
      <c r="A16" s="1633" t="s">
        <v>1723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6.5">
      <c r="A17" s="1633" t="s">
        <v>1724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6.5">
      <c r="A18" s="1633" t="s">
        <v>1725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1726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1727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1728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1729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1730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34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61" t="s">
        <v>1351</v>
      </c>
      <c r="B2" s="1661"/>
      <c r="C2" s="1661"/>
      <c r="D2" s="1661"/>
      <c r="E2" s="1661"/>
      <c r="F2" s="1661"/>
      <c r="G2" s="1661"/>
      <c r="H2" s="1637"/>
      <c r="I2" s="1636"/>
      <c r="X2" s="210"/>
      <c r="AG2" s="182"/>
    </row>
    <row r="3" spans="1:33" ht="13.5">
      <c r="A3" s="1662" t="s">
        <v>1352</v>
      </c>
      <c r="B3" s="1663"/>
      <c r="C3" s="1664"/>
      <c r="D3" s="1665" t="s">
        <v>1353</v>
      </c>
      <c r="E3" s="1663"/>
      <c r="F3" s="1663"/>
      <c r="G3" s="1666"/>
      <c r="H3" s="1637"/>
      <c r="I3" s="1636"/>
      <c r="X3" s="210"/>
      <c r="AG3" s="182"/>
    </row>
    <row r="4" spans="1:33" ht="27">
      <c r="A4" s="1214" t="s">
        <v>1354</v>
      </c>
      <c r="B4" s="1215" t="s">
        <v>1355</v>
      </c>
      <c r="C4" s="1216" t="s">
        <v>1356</v>
      </c>
      <c r="D4" s="1667" t="s">
        <v>1354</v>
      </c>
      <c r="E4" s="1668"/>
      <c r="F4" s="1215" t="s">
        <v>1355</v>
      </c>
      <c r="G4" s="1217" t="s">
        <v>1357</v>
      </c>
      <c r="H4" s="1637"/>
      <c r="I4" s="1636"/>
      <c r="X4" s="210"/>
      <c r="AG4" s="182"/>
    </row>
    <row r="5" spans="1:33" ht="13.5">
      <c r="A5" s="1669" t="s">
        <v>1358</v>
      </c>
      <c r="B5" s="1670">
        <f ca="1">主表!F5</f>
        <v>7627</v>
      </c>
      <c r="C5" s="1671" t="s">
        <v>1359</v>
      </c>
      <c r="D5" s="1668" t="s">
        <v>1360</v>
      </c>
      <c r="E5" s="1672"/>
      <c r="F5" s="1218">
        <f>SUM(F6:F10)</f>
        <v>0</v>
      </c>
      <c r="G5" s="1219" t="s">
        <v>1633</v>
      </c>
      <c r="H5" s="1637"/>
      <c r="I5" s="1636"/>
      <c r="X5" s="210"/>
      <c r="AG5" s="182"/>
    </row>
    <row r="6" spans="1:33" ht="27">
      <c r="A6" s="1669"/>
      <c r="B6" s="1670"/>
      <c r="C6" s="1671"/>
      <c r="D6" s="1673" t="s">
        <v>1381</v>
      </c>
      <c r="E6" s="1218" t="s">
        <v>1361</v>
      </c>
      <c r="F6" s="1218">
        <f>主表!F14</f>
        <v>0</v>
      </c>
      <c r="G6" s="1219" t="s">
        <v>1362</v>
      </c>
      <c r="H6" s="1637"/>
      <c r="I6" s="1636"/>
      <c r="X6" s="210"/>
      <c r="AG6" s="182"/>
    </row>
    <row r="7" spans="1:33" ht="13.5">
      <c r="A7" s="1669"/>
      <c r="B7" s="1670"/>
      <c r="C7" s="1671"/>
      <c r="D7" s="1673"/>
      <c r="E7" s="1218" t="s">
        <v>1363</v>
      </c>
      <c r="F7" s="1218">
        <f>主表!F15</f>
        <v>0</v>
      </c>
      <c r="G7" s="1219"/>
      <c r="H7" s="1637"/>
      <c r="I7" s="1636"/>
      <c r="X7" s="210"/>
      <c r="AG7" s="182"/>
    </row>
    <row r="8" spans="1:33" ht="13.5">
      <c r="A8" s="1669"/>
      <c r="B8" s="1670"/>
      <c r="C8" s="1671"/>
      <c r="D8" s="1674" t="s">
        <v>1382</v>
      </c>
      <c r="E8" s="1675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3.5">
      <c r="A9" s="1669"/>
      <c r="B9" s="1670"/>
      <c r="C9" s="1671"/>
      <c r="D9" s="1674" t="s">
        <v>1383</v>
      </c>
      <c r="E9" s="1675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69"/>
      <c r="B10" s="1670"/>
      <c r="C10" s="1671"/>
      <c r="D10" s="1674" t="s">
        <v>1384</v>
      </c>
      <c r="E10" s="1675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3.5">
      <c r="A11" s="1214" t="s">
        <v>1364</v>
      </c>
      <c r="B11" s="1218">
        <f ca="1">主表!F8</f>
        <v>0</v>
      </c>
      <c r="C11" s="1220" t="str">
        <f>"按前期开发成本的"&amp;TEXT(主表!G8,"0.0%")&amp;"计取"</f>
        <v>按前期开发成本的0.0%计取</v>
      </c>
      <c r="D11" s="1668" t="s">
        <v>1365</v>
      </c>
      <c r="E11" s="1672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0.5">
      <c r="A12" s="1214" t="s">
        <v>1366</v>
      </c>
      <c r="B12" s="1218">
        <f ca="1">主表!F9</f>
        <v>0</v>
      </c>
      <c r="C12" s="1221" t="str">
        <f ca="1">"前期开发期为"&amp;主表!B24&amp;"年，贷款利率为"&amp;TEXT(主表!G9,"0.00%")&amp;"，"&amp;主表!H9</f>
        <v>前期开发期为年，贷款利率为3.00%，计息期为年，复利计息</v>
      </c>
      <c r="D12" s="1668" t="s">
        <v>1367</v>
      </c>
      <c r="E12" s="1672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房屋建设期为年，贷款利率为0.00%，计息期为年，复利计息</v>
      </c>
      <c r="H12" s="1637"/>
      <c r="I12" s="1636"/>
      <c r="X12" s="210"/>
      <c r="AG12" s="182"/>
    </row>
    <row r="13" spans="1:33" ht="27">
      <c r="A13" s="1214" t="s">
        <v>1368</v>
      </c>
      <c r="B13" s="1218">
        <f ca="1">主表!F10</f>
        <v>0</v>
      </c>
      <c r="C13" s="1221" t="str">
        <f>"按前期开发成本及其管理费用的"&amp;TEXT(主表!G10,"0%")&amp;"计取"</f>
        <v>按前期开发成本及其管理费用的0%计取</v>
      </c>
      <c r="D13" s="1668" t="s">
        <v>1368</v>
      </c>
      <c r="E13" s="1672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3.5">
      <c r="A14" s="1214" t="s">
        <v>1369</v>
      </c>
      <c r="B14" s="1218">
        <f ca="1">SUM(B5:B13)</f>
        <v>7627</v>
      </c>
      <c r="C14" s="1221" t="s">
        <v>1370</v>
      </c>
      <c r="D14" s="1668" t="s">
        <v>1369</v>
      </c>
      <c r="E14" s="1672"/>
      <c r="F14" s="1218">
        <f ca="1">F5+F11+F12+F13</f>
        <v>0</v>
      </c>
      <c r="G14" s="1219" t="s">
        <v>1370</v>
      </c>
      <c r="H14" s="1637"/>
      <c r="I14" s="1636"/>
      <c r="X14" s="210"/>
      <c r="AG14" s="182"/>
    </row>
    <row r="15" spans="1:33" ht="27.75" thickBot="1">
      <c r="A15" s="1214" t="s">
        <v>1371</v>
      </c>
      <c r="B15" s="1670">
        <f ca="1">主表!F24</f>
        <v>7627</v>
      </c>
      <c r="C15" s="1676"/>
      <c r="D15" s="1674" t="s">
        <v>1372</v>
      </c>
      <c r="E15" s="1675"/>
      <c r="F15" s="1675"/>
      <c r="G15" s="1677"/>
      <c r="H15" s="1637"/>
      <c r="I15" s="1636"/>
      <c r="X15" s="210"/>
      <c r="AG15" s="182"/>
    </row>
    <row r="16" spans="1:33" ht="27.75" thickBot="1">
      <c r="A16" s="1214" t="s">
        <v>1373</v>
      </c>
      <c r="B16" s="1670">
        <f ca="1">主表!F25</f>
        <v>74.187799999999996</v>
      </c>
      <c r="C16" s="1676"/>
      <c r="D16" s="1674" t="s">
        <v>1374</v>
      </c>
      <c r="E16" s="1675"/>
      <c r="F16" s="1675"/>
      <c r="G16" s="1677"/>
      <c r="H16" s="1223" t="str">
        <f ca="1">NUMBERSTRING(INT(B16*10000),2)&amp;"元整"</f>
        <v>柒拾肆万壹仟捌佰柒拾捌元整</v>
      </c>
      <c r="I16" s="1224"/>
      <c r="X16" s="210"/>
      <c r="AG16" s="182"/>
    </row>
    <row r="17" spans="1:33" ht="13.5">
      <c r="A17" s="1214" t="s">
        <v>1375</v>
      </c>
      <c r="B17" s="1683">
        <f>主表!F33</f>
        <v>0</v>
      </c>
      <c r="C17" s="1676"/>
      <c r="D17" s="1674" t="s">
        <v>1376</v>
      </c>
      <c r="E17" s="1675"/>
      <c r="F17" s="1675"/>
      <c r="G17" s="1677"/>
      <c r="H17" s="1637"/>
      <c r="I17" s="1636"/>
      <c r="X17" s="210"/>
      <c r="AG17" s="182"/>
    </row>
    <row r="18" spans="1:33" ht="27.75" thickBot="1">
      <c r="A18" s="1214" t="s">
        <v>1377</v>
      </c>
      <c r="B18" s="1670">
        <f ca="1">主表!F35</f>
        <v>0</v>
      </c>
      <c r="C18" s="1676"/>
      <c r="D18" s="1674" t="s">
        <v>1378</v>
      </c>
      <c r="E18" s="1675"/>
      <c r="F18" s="1675"/>
      <c r="G18" s="1677"/>
      <c r="H18" s="1637"/>
      <c r="I18" s="1636"/>
      <c r="X18" s="210"/>
      <c r="AG18" s="182"/>
    </row>
    <row r="19" spans="1:33" ht="27.75" thickBot="1">
      <c r="A19" s="1222" t="s">
        <v>1379</v>
      </c>
      <c r="B19" s="1678">
        <f ca="1">主表!F36</f>
        <v>0</v>
      </c>
      <c r="C19" s="1679"/>
      <c r="D19" s="1680" t="s">
        <v>1380</v>
      </c>
      <c r="E19" s="1681"/>
      <c r="F19" s="1681"/>
      <c r="G19" s="1682"/>
      <c r="H19" s="1223" t="str">
        <f ca="1">NUMBERSTRING(INT(B19*10000),2)&amp;"元整"</f>
        <v>零元整</v>
      </c>
      <c r="I19" s="1224"/>
      <c r="X19" s="210"/>
      <c r="AG19" s="182"/>
    </row>
    <row r="20" spans="1:33" ht="20.25">
      <c r="A20" s="380" t="s">
        <v>219</v>
      </c>
      <c r="B20" s="381"/>
      <c r="C20" s="382" t="s">
        <v>25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220</v>
      </c>
      <c r="E26" s="218"/>
      <c r="F26" s="218"/>
      <c r="G26" s="1228" t="s">
        <v>221</v>
      </c>
      <c r="H26" s="216"/>
      <c r="I26" s="216"/>
      <c r="W26" s="210"/>
      <c r="X26" s="210"/>
      <c r="AF26" s="182"/>
      <c r="AG26" s="182"/>
    </row>
    <row r="27" spans="1:33">
      <c r="A27" s="1225" t="s">
        <v>222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223</v>
      </c>
      <c r="H29" s="216"/>
      <c r="I29" s="216"/>
      <c r="W29" s="210"/>
      <c r="X29" s="210"/>
      <c r="AF29" s="182"/>
      <c r="AG29" s="182"/>
    </row>
    <row r="30" spans="1:33">
      <c r="A30" s="219" t="s">
        <v>224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223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1" sqref="B11"/>
    </sheetView>
  </sheetViews>
  <sheetFormatPr defaultColWidth="9" defaultRowHeight="15.75" customHeight="1"/>
  <cols>
    <col min="1" max="1" width="25.625" style="1170" customWidth="1"/>
    <col min="2" max="2" width="15.625" style="1099" customWidth="1"/>
    <col min="3" max="3" width="6" style="1099" customWidth="1"/>
    <col min="4" max="4" width="7.75" style="1099" customWidth="1"/>
    <col min="5" max="5" width="22.25" style="1099" customWidth="1"/>
    <col min="6" max="6" width="12.375" style="1099" customWidth="1"/>
    <col min="7" max="7" width="9" style="1099"/>
    <col min="8" max="8" width="29" style="1099" customWidth="1"/>
    <col min="9" max="9" width="27.875" style="1099" customWidth="1"/>
    <col min="10" max="10" width="14.375" style="1099" customWidth="1"/>
    <col min="11" max="12" width="9" style="1099"/>
    <col min="13" max="13" width="2.125" style="1099" customWidth="1"/>
    <col min="14" max="14" width="18.125" style="1099" customWidth="1"/>
    <col min="15" max="15" width="10.875" style="1099" customWidth="1"/>
    <col min="16" max="16" width="17.2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1215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1282</v>
      </c>
      <c r="B2" s="1100"/>
      <c r="C2" s="1101"/>
      <c r="D2" s="1689" t="s">
        <v>1273</v>
      </c>
      <c r="E2" s="1690"/>
      <c r="F2" s="1690"/>
      <c r="G2" s="1690"/>
      <c r="H2" s="1691"/>
      <c r="I2" s="1102"/>
      <c r="J2" s="1102"/>
      <c r="K2" s="1098"/>
      <c r="L2" s="1098"/>
      <c r="N2" s="465" t="s">
        <v>1151</v>
      </c>
      <c r="O2" s="451">
        <f>SUMPRODUCT((N6:N12=B20)*(O5:Q5=B21)*(O6:Q12))</f>
        <v>50</v>
      </c>
    </row>
    <row r="3" spans="1:18" ht="15.75" customHeight="1">
      <c r="A3" s="1116" t="s">
        <v>1772</v>
      </c>
      <c r="B3" s="1480">
        <v>42139</v>
      </c>
      <c r="C3" s="1101"/>
      <c r="D3" s="1103" t="s">
        <v>1218</v>
      </c>
      <c r="E3" s="1104" t="s">
        <v>1219</v>
      </c>
      <c r="F3" s="1104" t="s">
        <v>1220</v>
      </c>
      <c r="G3" s="1104" t="s">
        <v>1287</v>
      </c>
      <c r="H3" s="1105" t="s">
        <v>1279</v>
      </c>
      <c r="I3" s="1106"/>
      <c r="J3" s="1107"/>
      <c r="K3" s="1098"/>
      <c r="L3" s="1098"/>
      <c r="N3" s="452" t="s">
        <v>1264</v>
      </c>
      <c r="O3" s="1313">
        <f>IF(B22="",O2,YEAR(B3)-B22)</f>
        <v>50</v>
      </c>
    </row>
    <row r="4" spans="1:18" ht="15.75" customHeight="1">
      <c r="A4" s="1128" t="s">
        <v>1773</v>
      </c>
      <c r="B4" s="1480">
        <f>B3</f>
        <v>42139</v>
      </c>
      <c r="C4" s="1101"/>
      <c r="D4" s="1108" t="s">
        <v>1274</v>
      </c>
      <c r="E4" s="1109" t="s">
        <v>1567</v>
      </c>
      <c r="F4" s="1110">
        <f ca="1">F5+F8+F9+F10</f>
        <v>7627</v>
      </c>
      <c r="G4" s="1111"/>
      <c r="H4" s="1112" t="s">
        <v>1221</v>
      </c>
      <c r="I4" s="1113"/>
      <c r="J4" s="1098"/>
      <c r="K4" s="1098"/>
      <c r="L4" s="1098"/>
      <c r="N4" s="452" t="s">
        <v>1263</v>
      </c>
      <c r="O4" s="466">
        <f>SUMIF(N6:N12,B20,R6:R12)</f>
        <v>0.02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1568</v>
      </c>
      <c r="F5" s="963">
        <f ca="1">IF(B4&lt;DATE(2002,12,10),F6,F6-F7)</f>
        <v>7627</v>
      </c>
      <c r="G5" s="1117"/>
      <c r="H5" s="1118" t="s">
        <v>1284</v>
      </c>
      <c r="I5" s="1113"/>
      <c r="J5" s="1098"/>
      <c r="K5" s="1098"/>
      <c r="L5" s="1098"/>
      <c r="N5" s="464" t="s">
        <v>1150</v>
      </c>
      <c r="O5" s="1119" t="s">
        <v>1145</v>
      </c>
      <c r="P5" s="1119" t="s">
        <v>1147</v>
      </c>
      <c r="Q5" s="1119" t="s">
        <v>1143</v>
      </c>
      <c r="R5" s="1119" t="s">
        <v>1258</v>
      </c>
    </row>
    <row r="6" spans="1:18" ht="15.75" customHeight="1">
      <c r="A6" s="1128" t="s">
        <v>1759</v>
      </c>
      <c r="B6" s="1482"/>
      <c r="C6" s="1101"/>
      <c r="D6" s="1120" t="s">
        <v>1266</v>
      </c>
      <c r="E6" s="1116" t="s">
        <v>1222</v>
      </c>
      <c r="F6" s="963">
        <f ca="1">IF(B4&lt;DATE(2002,12,10),'1993基准地价'!B3,IF(B4&gt;=DATE(2014,8,28),'2014基准地价'!B3,'2002基准地价'!B3))</f>
        <v>10170</v>
      </c>
      <c r="G6" s="1117"/>
      <c r="H6" s="1121" t="str">
        <f>"采用"&amp;IF(B4&lt;DATE(2002,12,10),"1993版",IF(B4&gt;=DATE(2014,8,28),"2014版","2002版"))&amp;"基准地价系数修正法计算"</f>
        <v>采用2014版基准地价系数修正法计算</v>
      </c>
      <c r="I6" s="1449" t="s">
        <v>1562</v>
      </c>
      <c r="J6" s="1098"/>
      <c r="K6" s="1098"/>
      <c r="L6" s="1098"/>
      <c r="N6" s="464" t="s">
        <v>1152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1760</v>
      </c>
      <c r="B7" s="1482">
        <v>97.27</v>
      </c>
      <c r="C7" s="1101"/>
      <c r="D7" s="1120" t="s">
        <v>1267</v>
      </c>
      <c r="E7" s="1116" t="s">
        <v>1223</v>
      </c>
      <c r="F7" s="963">
        <f ca="1">IF(B4&lt;DATE(2002,12,10),'1993基准地价'!C14,IF(B4&gt;=DATE(2014,8,28),'2014基准地价'!B4,IF(H7="采用比较法计算",比较法!B3,IF(H7="扣毛地价",'2002基准地价'!B4,'2002基准地价'!B5))))</f>
        <v>2543</v>
      </c>
      <c r="G7" s="1125"/>
      <c r="H7" s="1266"/>
      <c r="I7" s="1126" t="s">
        <v>1555</v>
      </c>
      <c r="J7" s="1098"/>
      <c r="K7" s="1098"/>
      <c r="L7" s="1098"/>
      <c r="N7" s="464" t="s">
        <v>1153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1761</v>
      </c>
      <c r="B8" s="1483" t="e">
        <f>ROUND(B7/B6,2)</f>
        <v>#DIV/0!</v>
      </c>
      <c r="C8" s="1101"/>
      <c r="D8" s="1127">
        <v>2</v>
      </c>
      <c r="E8" s="1128" t="s">
        <v>1225</v>
      </c>
      <c r="F8" s="1129">
        <f ca="1">ROUND(F5*G8,0)</f>
        <v>0</v>
      </c>
      <c r="G8" s="605"/>
      <c r="H8" s="1130"/>
      <c r="I8" s="1113" t="s">
        <v>1283</v>
      </c>
      <c r="J8" s="1098"/>
      <c r="K8" s="1098"/>
      <c r="L8" s="1098"/>
      <c r="N8" s="464" t="s">
        <v>1154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1762</v>
      </c>
      <c r="B9" s="1482">
        <v>1</v>
      </c>
      <c r="C9" s="1101"/>
      <c r="D9" s="1127">
        <v>3</v>
      </c>
      <c r="E9" s="1128" t="s">
        <v>1226</v>
      </c>
      <c r="F9" s="1129">
        <f ca="1">ROUND(F5*(POWER((1+G9),B24)-1)+F8*(POWER((1+G9),B24/2)-1),0)</f>
        <v>0</v>
      </c>
      <c r="G9" s="1131">
        <f ca="1">存贷款利率!G2</f>
        <v>0.03</v>
      </c>
      <c r="H9" s="1132" t="str">
        <f>"计息期为"&amp;B24&amp;"年，"&amp;"复利计息"</f>
        <v>计息期为年，复利计息</v>
      </c>
      <c r="I9" s="1133"/>
      <c r="J9" s="1134"/>
      <c r="K9" s="1098"/>
      <c r="L9" s="1098"/>
      <c r="N9" s="464" t="s">
        <v>1259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1763</v>
      </c>
      <c r="B10" s="1656" t="s">
        <v>664</v>
      </c>
      <c r="C10" s="1101"/>
      <c r="D10" s="1135">
        <v>4</v>
      </c>
      <c r="E10" s="1136" t="s">
        <v>1227</v>
      </c>
      <c r="F10" s="1137">
        <f ca="1">ROUND((F5+F8)*G10,0)</f>
        <v>0</v>
      </c>
      <c r="G10" s="468"/>
      <c r="H10" s="1138" t="s">
        <v>1229</v>
      </c>
      <c r="I10" s="1139" t="s">
        <v>1228</v>
      </c>
      <c r="J10" s="1140"/>
      <c r="K10" s="1098"/>
      <c r="L10" s="1098"/>
      <c r="N10" s="464" t="s">
        <v>1260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1764</v>
      </c>
      <c r="B11" s="1484" t="s">
        <v>576</v>
      </c>
      <c r="C11" s="1101"/>
      <c r="D11" s="1141" t="s">
        <v>1280</v>
      </c>
      <c r="E11" s="1142" t="s">
        <v>1569</v>
      </c>
      <c r="F11" s="1110">
        <f ca="1">F12+F20+F21+F22</f>
        <v>0</v>
      </c>
      <c r="G11" s="1143"/>
      <c r="H11" s="1144" t="s">
        <v>1230</v>
      </c>
      <c r="I11" s="1113"/>
      <c r="J11" s="1098"/>
      <c r="K11" s="1098"/>
      <c r="L11" s="1098"/>
      <c r="N11" s="464" t="s">
        <v>1261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1765</v>
      </c>
      <c r="B12" s="1485" t="s">
        <v>1790</v>
      </c>
      <c r="C12" s="1101"/>
      <c r="D12" s="1127">
        <v>1</v>
      </c>
      <c r="E12" s="1128" t="s">
        <v>1570</v>
      </c>
      <c r="F12" s="1129">
        <f>F13+F16+F17</f>
        <v>0</v>
      </c>
      <c r="G12" s="1145"/>
      <c r="H12" s="1146" t="s">
        <v>1285</v>
      </c>
      <c r="I12" s="1113"/>
      <c r="J12" s="1098"/>
      <c r="K12" s="1098"/>
      <c r="L12" s="1098"/>
      <c r="N12" s="464" t="s">
        <v>1262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1766</v>
      </c>
      <c r="B13" s="1486">
        <v>70</v>
      </c>
      <c r="C13" s="1101"/>
      <c r="D13" s="1120" t="s">
        <v>1266</v>
      </c>
      <c r="E13" s="1128" t="s">
        <v>1231</v>
      </c>
      <c r="F13" s="1129">
        <f>F14+F15</f>
        <v>0</v>
      </c>
      <c r="G13" s="1145"/>
      <c r="H13" s="1146" t="s">
        <v>1286</v>
      </c>
      <c r="I13" s="1113"/>
      <c r="J13" s="1098"/>
      <c r="K13" s="1098"/>
      <c r="L13" s="1098"/>
    </row>
    <row r="14" spans="1:18" ht="15.75" customHeight="1">
      <c r="A14" s="1128" t="s">
        <v>1767</v>
      </c>
      <c r="B14" s="1487"/>
      <c r="C14" s="1101"/>
      <c r="D14" s="1127" t="s">
        <v>1269</v>
      </c>
      <c r="E14" s="1128" t="s">
        <v>1232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1768</v>
      </c>
      <c r="B15" s="1488">
        <f>IF(B14="",B13-(YEAR($B$4)-B22+B23+B24),ROUNDDOWN(MIN((B14-$B$4)/365,B13),2))</f>
        <v>-1945</v>
      </c>
      <c r="C15" s="1101"/>
      <c r="D15" s="1127" t="s">
        <v>1270</v>
      </c>
      <c r="E15" s="1128" t="s">
        <v>1233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1769</v>
      </c>
      <c r="B16" s="1482">
        <v>70</v>
      </c>
      <c r="C16" s="1101"/>
      <c r="D16" s="1120" t="s">
        <v>1267</v>
      </c>
      <c r="E16" s="1128" t="s">
        <v>1234</v>
      </c>
      <c r="F16" s="963">
        <f>ROUND(F13*G16,0)</f>
        <v>0</v>
      </c>
      <c r="G16" s="467"/>
      <c r="H16" s="1149" t="s">
        <v>1236</v>
      </c>
      <c r="I16" s="1133" t="s">
        <v>1235</v>
      </c>
      <c r="J16" s="1098"/>
      <c r="K16" s="1098"/>
      <c r="L16" s="1098"/>
    </row>
    <row r="17" spans="1:18" ht="15.75" customHeight="1">
      <c r="A17" s="1128" t="s">
        <v>1770</v>
      </c>
      <c r="B17" s="1489">
        <f ca="1">IF(B4&lt;DATE(2002,12,10),'1993基准地价'!C23,IF(B4&gt;=DATE(2014,8,28),'2014基准地价'!G20,'2002基准地价'!E10))</f>
        <v>5.8999999999999997E-2</v>
      </c>
      <c r="C17" s="1101"/>
      <c r="D17" s="1120" t="s">
        <v>1268</v>
      </c>
      <c r="E17" s="1128" t="s">
        <v>1237</v>
      </c>
      <c r="F17" s="1129">
        <f>F18+F19</f>
        <v>0</v>
      </c>
      <c r="G17" s="1145"/>
      <c r="H17" s="1146" t="s">
        <v>1286</v>
      </c>
      <c r="I17" s="1098"/>
      <c r="J17" s="1098"/>
      <c r="K17" s="1098"/>
      <c r="L17" s="1098"/>
    </row>
    <row r="18" spans="1:18" ht="15.75" customHeight="1">
      <c r="A18" s="1128" t="s">
        <v>1771</v>
      </c>
      <c r="B18" s="1490">
        <f ca="1">IF(ISERROR(ROUND(POWER(1+B17,B13-B15)*(POWER(1+B17,B15)-1)/(POWER(1+B17,B13)-1),3)),0,ROUND(POWER(1+B17,B13-B15)*(POWER(1+B17,B15)-1)/(POWER(1+B17,B13)-1),3))</f>
        <v>-2.6950563907761499E+48</v>
      </c>
      <c r="C18" s="1101"/>
      <c r="D18" s="1127" t="s">
        <v>1271</v>
      </c>
      <c r="E18" s="1128" t="s">
        <v>1281</v>
      </c>
      <c r="F18" s="963">
        <f>ROUND(IF(B12="住宅/居住",F13*G18,0),0)</f>
        <v>0</v>
      </c>
      <c r="G18" s="467"/>
      <c r="H18" s="1149" t="s">
        <v>1236</v>
      </c>
      <c r="I18" s="1133" t="s">
        <v>1238</v>
      </c>
      <c r="J18" s="1098" t="s">
        <v>1265</v>
      </c>
      <c r="K18" s="1098"/>
      <c r="L18" s="1098"/>
    </row>
    <row r="19" spans="1:18" ht="15.75" customHeight="1">
      <c r="A19" s="1113"/>
      <c r="B19" s="1098"/>
      <c r="C19" s="1101"/>
      <c r="D19" s="1127" t="s">
        <v>1272</v>
      </c>
      <c r="E19" s="1128" t="s">
        <v>1239</v>
      </c>
      <c r="F19" s="963">
        <f>ROUND(F13*G19,0)</f>
        <v>0</v>
      </c>
      <c r="G19" s="467"/>
      <c r="H19" s="1149" t="s">
        <v>1236</v>
      </c>
      <c r="I19" s="1133" t="s">
        <v>1240</v>
      </c>
      <c r="J19" s="1098"/>
      <c r="K19" s="1098"/>
      <c r="L19" s="1098"/>
    </row>
    <row r="20" spans="1:18" ht="15.75" customHeight="1">
      <c r="A20" s="1128" t="s">
        <v>1774</v>
      </c>
      <c r="B20" s="1491" t="s">
        <v>1799</v>
      </c>
      <c r="C20" s="1101"/>
      <c r="D20" s="1127">
        <v>2</v>
      </c>
      <c r="E20" s="1128" t="s">
        <v>1225</v>
      </c>
      <c r="F20" s="1129">
        <f>ROUND(F12*G20,0)</f>
        <v>0</v>
      </c>
      <c r="G20" s="605"/>
      <c r="H20" s="1121"/>
      <c r="I20" s="1133" t="s">
        <v>1241</v>
      </c>
      <c r="J20" s="1098"/>
      <c r="K20" s="1098"/>
      <c r="L20" s="1098"/>
    </row>
    <row r="21" spans="1:18" ht="15.75" customHeight="1">
      <c r="A21" s="1128" t="s">
        <v>1775</v>
      </c>
      <c r="B21" s="1492" t="s">
        <v>1143</v>
      </c>
      <c r="C21" s="1101"/>
      <c r="D21" s="1300">
        <v>3</v>
      </c>
      <c r="E21" s="1301" t="s">
        <v>1571</v>
      </c>
      <c r="F21" s="1302">
        <f ca="1">ROUND((F12+F20)*(POWER((1+G21),B23/2)-1),0)</f>
        <v>0</v>
      </c>
      <c r="G21" s="1303">
        <f ca="1">存贷款利率!G1</f>
        <v>0</v>
      </c>
      <c r="H21" s="1132" t="str">
        <f>"计息期为"&amp;B23&amp;"年，"&amp;"复利计息"</f>
        <v>计息期为年，复利计息</v>
      </c>
      <c r="I21" s="1122"/>
      <c r="J21" s="1106"/>
      <c r="K21" s="1098"/>
      <c r="L21" s="1098"/>
    </row>
    <row r="22" spans="1:18" ht="15.75" customHeight="1" thickBot="1">
      <c r="A22" s="1128" t="s">
        <v>1776</v>
      </c>
      <c r="B22" s="1493"/>
      <c r="C22" s="1101"/>
      <c r="D22" s="1135">
        <v>4</v>
      </c>
      <c r="E22" s="1136" t="s">
        <v>1572</v>
      </c>
      <c r="F22" s="1137">
        <f>ROUND((F12+F20)*G22,0)</f>
        <v>0</v>
      </c>
      <c r="G22" s="468"/>
      <c r="H22" s="1138" t="s">
        <v>1229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1777</v>
      </c>
      <c r="B23" s="1494"/>
      <c r="C23" s="1098"/>
      <c r="D23" s="1141" t="s">
        <v>1573</v>
      </c>
      <c r="E23" s="1142" t="s">
        <v>1242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1778</v>
      </c>
      <c r="B24" s="1494"/>
      <c r="C24" s="1098"/>
      <c r="D24" s="1115">
        <v>1</v>
      </c>
      <c r="E24" s="1116" t="s">
        <v>1243</v>
      </c>
      <c r="F24" s="963">
        <f ca="1">F4+F11</f>
        <v>7627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1244</v>
      </c>
      <c r="F25" s="1156">
        <f ca="1">ROUND(F24*B7/10000,4)</f>
        <v>74.187799999999996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2" t="s">
        <v>1275</v>
      </c>
      <c r="E26" s="1693"/>
      <c r="F26" s="1693"/>
      <c r="G26" s="1693"/>
      <c r="H26" s="1694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1218</v>
      </c>
      <c r="E27" s="1160" t="s">
        <v>1224</v>
      </c>
      <c r="F27" s="1104" t="s">
        <v>1245</v>
      </c>
      <c r="G27" s="1104" t="s">
        <v>1246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1274</v>
      </c>
      <c r="E28" s="1116" t="s">
        <v>1247</v>
      </c>
      <c r="F28" s="1162">
        <f>ROUND(IF(AND(B12&lt;&gt;"住宅/居住",B13&lt;O2),1-(1-O4)*O3/B13,1-(1-O4)*O3/O2),2)</f>
        <v>0.02</v>
      </c>
      <c r="G28" s="470"/>
      <c r="H28" s="1163"/>
      <c r="I28" s="1113" t="s">
        <v>1248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1276</v>
      </c>
      <c r="E29" s="1116" t="s">
        <v>1249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1577</v>
      </c>
      <c r="P29" s="1320" t="s">
        <v>1578</v>
      </c>
      <c r="Q29" s="1320" t="s">
        <v>1579</v>
      </c>
      <c r="R29" s="1321" t="s">
        <v>1580</v>
      </c>
    </row>
    <row r="30" spans="1:18" ht="15.75" customHeight="1">
      <c r="A30" s="1148"/>
      <c r="B30" s="1098"/>
      <c r="C30" s="1098"/>
      <c r="D30" s="1115">
        <v>1</v>
      </c>
      <c r="E30" s="1164" t="s">
        <v>1250</v>
      </c>
      <c r="F30" s="471"/>
      <c r="G30" s="1162">
        <f>IF(ISNUMBER(FIND("砖木",B20)),O30,SUMPRODUCT((N30:N32=E30)*(O29:R29=B20)*(O30:R32)))</f>
        <v>0.2</v>
      </c>
      <c r="H30" s="1163"/>
      <c r="I30" s="1684" t="s">
        <v>1581</v>
      </c>
      <c r="J30" s="1314"/>
      <c r="K30" s="1098"/>
      <c r="L30" s="1098"/>
      <c r="N30" s="1322" t="s">
        <v>1574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1251</v>
      </c>
      <c r="F31" s="963">
        <f>F30</f>
        <v>0</v>
      </c>
      <c r="G31" s="1162">
        <f>IF(ISNUMBER(FIND("砖木",B20)),O31,SUMPRODUCT((N30:N32=E31)*(O29:R29=B20)*(O30:R32)))</f>
        <v>0.45</v>
      </c>
      <c r="H31" s="1163"/>
      <c r="I31" s="1684"/>
      <c r="J31" s="1314"/>
      <c r="K31" s="1098"/>
      <c r="L31" s="1098"/>
      <c r="N31" s="1322" t="s">
        <v>1575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1252</v>
      </c>
      <c r="F32" s="963">
        <f>F31</f>
        <v>0</v>
      </c>
      <c r="G32" s="1162">
        <f>IF(ISNUMBER(FIND("砖木",B20)),O32,SUMPRODUCT((N30:N32=E32)*(O29:R29=B20)*(O30:R32)))</f>
        <v>0.35</v>
      </c>
      <c r="H32" s="1163"/>
      <c r="I32" s="1684"/>
      <c r="J32" s="1314"/>
      <c r="K32" s="1098"/>
      <c r="L32" s="1098"/>
      <c r="N32" s="1322" t="s">
        <v>1576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1277</v>
      </c>
      <c r="E33" s="1155" t="s">
        <v>1253</v>
      </c>
      <c r="F33" s="1166">
        <f>ROUND(F28*G28+F29*G29,2)</f>
        <v>0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2" t="s">
        <v>1278</v>
      </c>
      <c r="E34" s="1693"/>
      <c r="F34" s="1693"/>
      <c r="G34" s="1693"/>
      <c r="H34" s="1694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1274</v>
      </c>
      <c r="E35" s="1167" t="s">
        <v>1254</v>
      </c>
      <c r="F35" s="1168">
        <f ca="1">ROUND(F24*F33,0)</f>
        <v>0</v>
      </c>
      <c r="G35" s="1685" t="s">
        <v>1255</v>
      </c>
      <c r="H35" s="1686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1276</v>
      </c>
      <c r="E36" s="1155" t="s">
        <v>1256</v>
      </c>
      <c r="F36" s="1169">
        <f ca="1">ROUND(F25*F33,4)</f>
        <v>0</v>
      </c>
      <c r="G36" s="1687" t="s">
        <v>1257</v>
      </c>
      <c r="H36" s="1688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1202</v>
      </c>
    </row>
    <row r="52" spans="1:13" ht="15.75" customHeight="1">
      <c r="C52" s="1173" t="s">
        <v>1201</v>
      </c>
      <c r="D52" s="1173"/>
      <c r="E52" s="1173"/>
      <c r="F52" s="1173"/>
      <c r="G52" s="1177" t="s">
        <v>1206</v>
      </c>
      <c r="I52" s="1171"/>
      <c r="J52" s="1171"/>
      <c r="K52" s="1171"/>
      <c r="L52" s="1171"/>
      <c r="M52" s="1171"/>
    </row>
    <row r="53" spans="1:13" ht="15.75" customHeight="1">
      <c r="A53" s="1172" t="s">
        <v>1199</v>
      </c>
      <c r="B53" s="1173" t="s">
        <v>1200</v>
      </c>
      <c r="C53" s="1175" t="s">
        <v>1205</v>
      </c>
      <c r="D53" s="1175"/>
      <c r="E53" s="1175"/>
      <c r="F53" s="1175"/>
      <c r="G53" s="1177" t="s">
        <v>1210</v>
      </c>
      <c r="I53" s="1171"/>
      <c r="J53" s="1171"/>
      <c r="K53" s="1171"/>
      <c r="L53" s="1171"/>
      <c r="M53" s="1171"/>
    </row>
    <row r="54" spans="1:13" ht="15.75" customHeight="1">
      <c r="A54" s="1174" t="s">
        <v>1203</v>
      </c>
      <c r="B54" s="1175" t="s">
        <v>1204</v>
      </c>
      <c r="C54" s="1175" t="s">
        <v>1209</v>
      </c>
      <c r="D54" s="1175"/>
      <c r="E54" s="1175"/>
      <c r="F54" s="1175"/>
      <c r="G54" s="1177" t="s">
        <v>1214</v>
      </c>
      <c r="I54" s="1171"/>
      <c r="J54" s="1171"/>
      <c r="K54" s="1171"/>
      <c r="L54" s="1171"/>
      <c r="M54" s="1171"/>
    </row>
    <row r="55" spans="1:13" ht="15.75" customHeight="1">
      <c r="A55" s="1174" t="s">
        <v>1207</v>
      </c>
      <c r="B55" s="1175" t="s">
        <v>1208</v>
      </c>
      <c r="C55" s="1175" t="s">
        <v>1213</v>
      </c>
      <c r="D55" s="1175"/>
      <c r="E55" s="1175"/>
      <c r="F55" s="1175"/>
      <c r="G55" s="1177" t="s">
        <v>1216</v>
      </c>
      <c r="I55" s="1171"/>
      <c r="J55" s="1171"/>
      <c r="K55" s="1171"/>
      <c r="L55" s="1171"/>
      <c r="M55" s="1171"/>
    </row>
    <row r="56" spans="1:13" ht="15.75" customHeight="1">
      <c r="A56" s="1174" t="s">
        <v>1211</v>
      </c>
      <c r="B56" s="1175" t="s">
        <v>1212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tabSelected="1" topLeftCell="A13" zoomScaleNormal="100" zoomScaleSheetLayoutView="89" workbookViewId="0">
      <selection activeCell="C78" sqref="C78"/>
    </sheetView>
  </sheetViews>
  <sheetFormatPr defaultColWidth="9" defaultRowHeight="12"/>
  <cols>
    <col min="1" max="1" width="9.75" style="667" customWidth="1"/>
    <col min="2" max="2" width="19.25" style="733" customWidth="1"/>
    <col min="3" max="3" width="22.25" style="666" customWidth="1"/>
    <col min="4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1466</v>
      </c>
      <c r="B1" s="763"/>
      <c r="C1" s="664" t="s">
        <v>1176</v>
      </c>
      <c r="D1" s="473">
        <f>主表!B7</f>
        <v>97.27</v>
      </c>
      <c r="E1" s="663" t="s">
        <v>1553</v>
      </c>
      <c r="F1" s="1232" t="s">
        <v>1791</v>
      </c>
      <c r="G1" s="1402"/>
      <c r="H1" s="663"/>
      <c r="I1" s="663"/>
      <c r="J1" s="663"/>
      <c r="L1" s="756" t="s">
        <v>341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908</v>
      </c>
      <c r="B2" s="31">
        <f ca="1">C26</f>
        <v>989236</v>
      </c>
      <c r="C2" s="625" t="s">
        <v>979</v>
      </c>
      <c r="D2" s="671" t="s">
        <v>982</v>
      </c>
      <c r="E2" s="672" t="str">
        <f>主表!B12</f>
        <v>住宅/居住</v>
      </c>
      <c r="F2" s="671" t="s">
        <v>909</v>
      </c>
      <c r="G2" s="673" t="str">
        <f>主表!B10</f>
        <v>七级</v>
      </c>
      <c r="H2" s="764" t="s">
        <v>910</v>
      </c>
      <c r="I2" s="623" t="str">
        <f>主表!B11</f>
        <v>Ⅶ-昌5</v>
      </c>
      <c r="J2" s="663"/>
      <c r="L2" s="475" t="s">
        <v>401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24">
      <c r="A3" s="765" t="s">
        <v>911</v>
      </c>
      <c r="B3" s="31">
        <f ca="1">IF(F1="地上",C29,SUMIF(B33:B39,G1,C33:C39))</f>
        <v>10170</v>
      </c>
      <c r="C3" s="625" t="s">
        <v>912</v>
      </c>
      <c r="D3" s="671" t="s">
        <v>252</v>
      </c>
      <c r="E3" s="674" t="s">
        <v>1789</v>
      </c>
      <c r="F3" s="1376" t="s">
        <v>1792</v>
      </c>
      <c r="G3" s="197">
        <f>IF(F3="容积率",主表!B8,主表!B9)</f>
        <v>1</v>
      </c>
      <c r="H3" s="671" t="s">
        <v>253</v>
      </c>
      <c r="I3" s="370">
        <v>1</v>
      </c>
      <c r="J3" s="663" t="s">
        <v>254</v>
      </c>
      <c r="L3" s="475" t="s">
        <v>579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1752</v>
      </c>
      <c r="B4" s="688">
        <f ca="1">IF(F1="地上",C30,SUMIF(B33:B39,G1,G33:G39))</f>
        <v>2543</v>
      </c>
      <c r="C4" s="688"/>
      <c r="D4" s="688"/>
      <c r="E4" s="688"/>
      <c r="F4" s="688"/>
      <c r="G4" s="688"/>
      <c r="H4" s="688"/>
      <c r="I4" s="688"/>
      <c r="J4" s="1461"/>
      <c r="L4" s="475" t="s">
        <v>250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913</v>
      </c>
      <c r="B5" s="767" t="s">
        <v>914</v>
      </c>
      <c r="C5" s="344">
        <f>ROUND(IF(E2="商业",C6*C7+C16,(IF(E2="住宅/居住",C6*C12+C16,C6+C16))),0)</f>
        <v>7570</v>
      </c>
      <c r="D5" s="1455">
        <f>ROUND(C6+C16,0)</f>
        <v>7570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661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914</v>
      </c>
      <c r="C6" s="347">
        <f>SUMIF(L1:L12,G2,M1:M12)</f>
        <v>7570</v>
      </c>
      <c r="D6" s="773" t="s">
        <v>1467</v>
      </c>
      <c r="E6" s="774"/>
      <c r="F6" s="774"/>
      <c r="G6" s="775"/>
      <c r="H6" s="775"/>
      <c r="I6" s="775"/>
      <c r="J6" s="776"/>
      <c r="K6" s="691"/>
      <c r="L6" s="475" t="s">
        <v>33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5" t="str">
        <f>IF(E2="商业",IF(C8="不临58条商业街","",2),"")</f>
        <v/>
      </c>
      <c r="B7" s="777" t="s">
        <v>915</v>
      </c>
      <c r="C7" s="348">
        <f>IF(C8="不临58条商业街",1,ROUND(1+(1.6*E8+1.2*E9+0.8*E10+0.4*E11)*C9,4))</f>
        <v>1</v>
      </c>
      <c r="D7" s="738" t="s">
        <v>916</v>
      </c>
      <c r="E7" s="371"/>
      <c r="F7" s="778"/>
      <c r="G7" s="779"/>
      <c r="H7" s="779"/>
      <c r="I7" s="779"/>
      <c r="J7" s="780"/>
      <c r="K7" s="691"/>
      <c r="L7" s="475" t="s">
        <v>664</v>
      </c>
      <c r="M7" s="406">
        <f>SUMPRODUCT(('2014区片价'!B158:B205=I2)*('2014区片价'!C3:F3=E2)*('2014区片价'!C158:F205))</f>
        <v>7570</v>
      </c>
      <c r="N7" s="409">
        <f>SUMPRODUCT(('2014因素修正幅度'!B158:B205=I2)*('2014因素修正幅度'!C3:F3=E2)*('2014因素修正幅度'!C158:F205))</f>
        <v>0.127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696"/>
      <c r="B8" s="671" t="s">
        <v>917</v>
      </c>
      <c r="C8" s="880" t="s">
        <v>1796</v>
      </c>
      <c r="D8" s="351" t="s">
        <v>255</v>
      </c>
      <c r="E8" s="352" t="e">
        <f>ROUND(C11/E7,4)</f>
        <v>#DIV/0!</v>
      </c>
      <c r="F8" s="892" t="s">
        <v>1483</v>
      </c>
      <c r="G8" s="782"/>
      <c r="H8" s="782"/>
      <c r="I8" s="782"/>
      <c r="J8" s="783"/>
      <c r="L8" s="475" t="s">
        <v>666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696"/>
      <c r="B9" s="671" t="s">
        <v>918</v>
      </c>
      <c r="C9" s="354">
        <f>SUMIF('2014修正'!C59:C119,C8,'2014修正'!E59:E119)</f>
        <v>0</v>
      </c>
      <c r="D9" s="25" t="s">
        <v>256</v>
      </c>
      <c r="E9" s="25" t="e">
        <f>ROUND(C11/E7,4)</f>
        <v>#DIV/0!</v>
      </c>
      <c r="F9" s="892" t="s">
        <v>1484</v>
      </c>
      <c r="G9" s="782"/>
      <c r="H9" s="782"/>
      <c r="I9" s="782"/>
      <c r="J9" s="783"/>
      <c r="L9" s="475" t="s">
        <v>668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696"/>
      <c r="B10" s="671" t="s">
        <v>919</v>
      </c>
      <c r="C10" s="25">
        <f>SUMIF('2014修正'!C59:C119,C8,'2014修正'!F59:F119)</f>
        <v>0</v>
      </c>
      <c r="D10" s="25" t="s">
        <v>257</v>
      </c>
      <c r="E10" s="25" t="e">
        <f>ROUND(C11/E7,4)</f>
        <v>#DIV/0!</v>
      </c>
      <c r="F10" s="892" t="s">
        <v>1485</v>
      </c>
      <c r="G10" s="782"/>
      <c r="H10" s="782"/>
      <c r="I10" s="782"/>
      <c r="J10" s="783"/>
      <c r="L10" s="475" t="s">
        <v>672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6"/>
      <c r="B11" s="784" t="s">
        <v>920</v>
      </c>
      <c r="C11" s="355">
        <f>C10/4</f>
        <v>0</v>
      </c>
      <c r="D11" s="355" t="s">
        <v>258</v>
      </c>
      <c r="E11" s="355" t="e">
        <f>ROUND(C11/E7,4)</f>
        <v>#DIV/0!</v>
      </c>
      <c r="F11" s="893" t="s">
        <v>1486</v>
      </c>
      <c r="G11" s="785"/>
      <c r="H11" s="785"/>
      <c r="I11" s="785"/>
      <c r="J11" s="786"/>
      <c r="L11" s="475" t="s">
        <v>980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695">
        <f>IF(E2="住宅/居住",2,"")</f>
        <v>2</v>
      </c>
      <c r="B12" s="787" t="s">
        <v>921</v>
      </c>
      <c r="C12" s="348">
        <f>ROUND(C15*D15*E15*F15*G15*H15*I15*J15,4)</f>
        <v>1</v>
      </c>
      <c r="D12" s="788" t="s">
        <v>922</v>
      </c>
      <c r="E12" s="789"/>
      <c r="F12" s="789"/>
      <c r="G12" s="790"/>
      <c r="H12" s="790"/>
      <c r="I12" s="790"/>
      <c r="J12" s="791"/>
      <c r="L12" s="761" t="s">
        <v>981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7"/>
      <c r="B13" s="792" t="s">
        <v>1468</v>
      </c>
      <c r="C13" s="307" t="s">
        <v>1469</v>
      </c>
      <c r="D13" s="610" t="s">
        <v>1470</v>
      </c>
      <c r="E13" s="610" t="s">
        <v>1471</v>
      </c>
      <c r="F13" s="793" t="s">
        <v>259</v>
      </c>
      <c r="G13" s="794" t="s">
        <v>965</v>
      </c>
      <c r="H13" s="794" t="s">
        <v>965</v>
      </c>
      <c r="I13" s="794" t="s">
        <v>965</v>
      </c>
      <c r="J13" s="795" t="s">
        <v>965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7"/>
      <c r="B14" s="796"/>
      <c r="C14" s="797" t="s">
        <v>25</v>
      </c>
      <c r="D14" s="749" t="s">
        <v>25</v>
      </c>
      <c r="E14" s="749" t="s">
        <v>25</v>
      </c>
      <c r="F14" s="798" t="s">
        <v>1809</v>
      </c>
      <c r="G14" s="799" t="s">
        <v>949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698"/>
      <c r="B15" s="802" t="s">
        <v>1472</v>
      </c>
      <c r="C15" s="28">
        <f>IF(C14="有",1.1,1)</f>
        <v>1</v>
      </c>
      <c r="D15" s="28">
        <f>IF(D14="有",1.1,1)</f>
        <v>1</v>
      </c>
      <c r="E15" s="28">
        <f>IF(E14="有",1.1,1)</f>
        <v>1</v>
      </c>
      <c r="F15" s="28">
        <f>IF(F14="500米范围内",1.2,IF(F14="500-1000米",1.1,1))</f>
        <v>1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5">
        <f>IF(E2="办公/综合",2,IF(E2="工业",2,IF(E2="住宅/居住",3,IF(E2="商业",IF(C8="不临58条商业街",2,3)))))</f>
        <v>3</v>
      </c>
      <c r="B16" s="777" t="s">
        <v>923</v>
      </c>
      <c r="C16" s="348">
        <f>ROUND(IF(F17="与级别开发程度一致",0,(G17-E17)/C17),0)</f>
        <v>0</v>
      </c>
      <c r="D16" s="1704" t="s">
        <v>926</v>
      </c>
      <c r="E16" s="1705"/>
      <c r="F16" s="1704" t="s">
        <v>924</v>
      </c>
      <c r="G16" s="1706"/>
      <c r="H16" s="737" t="s">
        <v>1800</v>
      </c>
      <c r="I16" s="737" t="s">
        <v>1801</v>
      </c>
      <c r="J16" s="805" t="s">
        <v>1802</v>
      </c>
      <c r="K16" s="737" t="s">
        <v>1803</v>
      </c>
      <c r="L16" s="737" t="s">
        <v>1804</v>
      </c>
      <c r="M16" s="737" t="s">
        <v>1805</v>
      </c>
      <c r="N16" s="737" t="s">
        <v>1806</v>
      </c>
      <c r="O16" s="805" t="s">
        <v>1807</v>
      </c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24.75" thickBot="1">
      <c r="A17" s="1699"/>
      <c r="B17" s="1471" t="s">
        <v>925</v>
      </c>
      <c r="C17" s="1472">
        <f>SUMPRODUCT(('2014修正'!A2:A5=E2)*('2014修正'!B1:M1=G2)*('2014修正'!B2:M5))</f>
        <v>2.5</v>
      </c>
      <c r="D17" s="1473" t="str">
        <f>IF(OR(G2="八级",G2="九级",G2="十级",G2="十一级",G2="十二级"),"五通一平","七通一平")</f>
        <v>七通一平</v>
      </c>
      <c r="E17" s="1476">
        <f>SUMPRODUCT(('2014修正'!B1:M1=G2)*('2014修正'!B15:M15))</f>
        <v>300</v>
      </c>
      <c r="F17" s="1477" t="s">
        <v>1798</v>
      </c>
      <c r="G17" s="1478">
        <f>SUM(H17:O17)</f>
        <v>300</v>
      </c>
      <c r="H17" s="1474">
        <f>SUMPRODUCT((七通一平=H16)*('2014修正'!B1:M1=G2)*('2014修正'!B6:M14))</f>
        <v>65</v>
      </c>
      <c r="I17" s="1474">
        <f>SUMPRODUCT((七通一平=I16)*('2014修正'!B1:M1=G2)*('2014修正'!B6:M14))</f>
        <v>55</v>
      </c>
      <c r="J17" s="1475">
        <f>SUMPRODUCT((七通一平=J16)*('2014修正'!B1:M1=G2)*('2014修正'!B6:M14))</f>
        <v>15</v>
      </c>
      <c r="K17" s="1474">
        <f>SUMPRODUCT((七通一平=K16)*('2014修正'!B1:M1=G2)*('2014修正'!B6:M14))</f>
        <v>25</v>
      </c>
      <c r="L17" s="1474">
        <f>SUMPRODUCT((七通一平=L16)*('2014修正'!B1:M1=G2)*('2014修正'!B6:M14))</f>
        <v>35</v>
      </c>
      <c r="M17" s="1474">
        <f>SUMPRODUCT((七通一平=M16)*('2014修正'!B1:M1=G2)*('2014修正'!B6:M14))</f>
        <v>50</v>
      </c>
      <c r="N17" s="1474">
        <f>SUMPRODUCT((七通一平=N16)*('2014修正'!B1:M1=G2)*('2014修正'!B6:M14))</f>
        <v>40</v>
      </c>
      <c r="O17" s="1475">
        <f>SUMPRODUCT((七通一平=O16)*('2014修正'!B1:M1=G2)*('2014修正'!B6:M14))</f>
        <v>15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2" t="s">
        <v>927</v>
      </c>
      <c r="B18" s="1463" t="s">
        <v>928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967</v>
      </c>
      <c r="M18" s="1470">
        <f>ROUNDDOWN(IF(H19&gt;=E19,DATEDIF(E19,H19,"M")/3,DATEDIF(H19,E19,"M")/3),0)</f>
        <v>5</v>
      </c>
      <c r="N18" s="614">
        <v>1</v>
      </c>
      <c r="O18" s="803" t="s">
        <v>942</v>
      </c>
      <c r="P18" s="781" t="s">
        <v>943</v>
      </c>
      <c r="Q18" s="781" t="s">
        <v>1300</v>
      </c>
      <c r="R18" s="781" t="s">
        <v>1299</v>
      </c>
      <c r="S18" s="804" t="s">
        <v>944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929</v>
      </c>
      <c r="B19" s="808" t="s">
        <v>930</v>
      </c>
      <c r="C19" s="1380">
        <f>ROUND(I19/F19,4)</f>
        <v>1.0472999999999999</v>
      </c>
      <c r="D19" s="1383" t="s">
        <v>260</v>
      </c>
      <c r="E19" s="1420">
        <v>41640</v>
      </c>
      <c r="F19" s="1421">
        <f>ROUND(SUMIF(地价!B3:F3,E2,地价!B38:F38),0)</f>
        <v>423</v>
      </c>
      <c r="G19" s="1383" t="s">
        <v>261</v>
      </c>
      <c r="H19" s="1229">
        <f>主表!B4</f>
        <v>42139</v>
      </c>
      <c r="I19" s="1422">
        <f>ROUND(SUMPRODUCT((地价!A5:A38=YEAR(H19)&amp;"-"&amp;ROUNDUP(MONTH(H19)/3,0))*(地价!B3:F3=E2)*(地价!B5:F38)),0)</f>
        <v>443</v>
      </c>
      <c r="J19" s="1423"/>
      <c r="K19" s="721"/>
      <c r="L19" s="735" t="s">
        <v>262</v>
      </c>
      <c r="M19" s="736" t="s">
        <v>263</v>
      </c>
      <c r="N19" s="565" t="s">
        <v>266</v>
      </c>
      <c r="O19" s="752" t="s">
        <v>946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931</v>
      </c>
      <c r="B20" s="810" t="s">
        <v>932</v>
      </c>
      <c r="C20" s="1381">
        <f ca="1">ROUND(POWER(1+G20,J20-I20)*(POWER(1+G20,I20)-1)/(POWER(1+G20,J20)-1),4)</f>
        <v>1</v>
      </c>
      <c r="D20" s="1384" t="s">
        <v>933</v>
      </c>
      <c r="E20" s="1385">
        <f ca="1">INDIRECT("'存贷款利率'!e"&amp;存贷款利率!$K$4)/100</f>
        <v>5.0999999999999997E-2</v>
      </c>
      <c r="F20" s="1382" t="s">
        <v>934</v>
      </c>
      <c r="G20" s="1386">
        <f ca="1">SUMIF(P18:S18,E2,P20:S20)</f>
        <v>5.8999999999999997E-2</v>
      </c>
      <c r="H20" s="1387" t="s">
        <v>1793</v>
      </c>
      <c r="I20" s="964">
        <f>IF(H20="剩余土地使用年限",主表!B15,主表!B16)</f>
        <v>70</v>
      </c>
      <c r="J20" s="363">
        <f>IF(E2="住宅/居住",70,IF(E2="商业",40,50))</f>
        <v>70</v>
      </c>
      <c r="K20" s="721"/>
      <c r="L20" s="739" t="s">
        <v>276</v>
      </c>
      <c r="M20" s="612"/>
      <c r="N20" s="27">
        <f ca="1">'地价（废）'!G2</f>
        <v>0</v>
      </c>
      <c r="O20" s="806" t="s">
        <v>934</v>
      </c>
      <c r="P20" s="567">
        <f ca="1">ROUND($E$20*(1+P19),3)</f>
        <v>6.4000000000000001E-2</v>
      </c>
      <c r="Q20" s="567">
        <f ca="1">ROUND($E$20*(1+Q19),3)</f>
        <v>6.0999999999999999E-2</v>
      </c>
      <c r="R20" s="567">
        <f ca="1">ROUND($E$20*(1+R19),3)</f>
        <v>5.8999999999999997E-2</v>
      </c>
      <c r="S20" s="882">
        <f ca="1">ROUND($E$20*(1+S19),3)</f>
        <v>5.6000000000000001E-2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935</v>
      </c>
      <c r="B21" s="812" t="s">
        <v>277</v>
      </c>
      <c r="C21" s="98">
        <f>IF(B21="容积率修正",IF(G3&lt;=10,D22,J22),C23)</f>
        <v>1.2376</v>
      </c>
      <c r="D21" s="813"/>
      <c r="E21" s="813" t="s">
        <v>1754</v>
      </c>
      <c r="F21" s="813"/>
      <c r="G21" s="813"/>
      <c r="H21" s="813"/>
      <c r="I21" s="813"/>
      <c r="J21" s="814"/>
      <c r="K21" s="721"/>
      <c r="L21" s="739" t="s">
        <v>278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936</v>
      </c>
      <c r="C22" s="1377" t="s">
        <v>1479</v>
      </c>
      <c r="D22" s="1377">
        <f>IF(E22=G22,F22,IF(G3&lt;=10,ROUND(F22+(H22-F22)*(G3-E22)/(G22-E22),4),"——"))</f>
        <v>1.2376</v>
      </c>
      <c r="E22" s="1390">
        <f>ROUNDDOWN(G3,1)</f>
        <v>1</v>
      </c>
      <c r="F22" s="1391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1.2376</v>
      </c>
      <c r="G22" s="1389">
        <f>ROUNDUP(G3,1)</f>
        <v>1</v>
      </c>
      <c r="H22" s="137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1.2376</v>
      </c>
      <c r="I22" s="1388" t="s">
        <v>279</v>
      </c>
      <c r="J22" s="54" t="str">
        <f>IF(G3&gt;10,D114,"——")</f>
        <v>——</v>
      </c>
      <c r="K22" s="721"/>
      <c r="L22" s="739" t="s">
        <v>1300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937</v>
      </c>
      <c r="C23" s="358">
        <f>ROUND(IF(G3&gt;1,IF(I3&lt;7,SUMPRODUCT((B94:B99=I3)*(C93:N93=G2)*(C94:N99)),SUMIF(C93:N93,G2,C101:N101)),IF(I3&lt;7,SUMPRODUCT((B103:B108=I3)*(C93:N93=G2)*(C103:N108)),SUMIF(C93:N93,G2,C110:N110))),4)</f>
        <v>1.8629</v>
      </c>
      <c r="D23" s="663"/>
      <c r="E23" s="663"/>
      <c r="F23" s="818"/>
      <c r="G23" s="819"/>
      <c r="H23" s="820"/>
      <c r="I23" s="821"/>
      <c r="J23" s="822"/>
      <c r="L23" s="739" t="s">
        <v>1345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938</v>
      </c>
      <c r="B24" s="824" t="s">
        <v>939</v>
      </c>
      <c r="C24" s="364">
        <f>SUMIF(A46:A88,E2,B46:B88)</f>
        <v>1.0365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940</v>
      </c>
      <c r="B25" s="828" t="s">
        <v>941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962</v>
      </c>
      <c r="C26" s="26">
        <f ca="1">E29+SUM(E33:E39)</f>
        <v>989236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963</v>
      </c>
      <c r="C27" s="359">
        <f ca="1">E30+SUM(I33:I39)</f>
        <v>0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961</v>
      </c>
      <c r="C28" s="841" t="s">
        <v>945</v>
      </c>
      <c r="D28" s="841" t="s">
        <v>953</v>
      </c>
      <c r="E28" s="842" t="s">
        <v>954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957</v>
      </c>
      <c r="C29" s="26">
        <f ca="1">ROUND(C5*C18*C19*C20*C21*C24,0)</f>
        <v>10170</v>
      </c>
      <c r="D29" s="566">
        <f>主表!B7</f>
        <v>97.27</v>
      </c>
      <c r="E29" s="369">
        <f ca="1">ROUND(C29*D29,0)</f>
        <v>989236</v>
      </c>
      <c r="F29" s="321" t="s">
        <v>1473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958</v>
      </c>
      <c r="C30" s="28">
        <f ca="1">ROUND(IF(E2="工业",C29*M39,C29*M38),0)</f>
        <v>2543</v>
      </c>
      <c r="D30" s="568"/>
      <c r="E30" s="369">
        <f ca="1">ROUND(C30*D30,0)</f>
        <v>0</v>
      </c>
      <c r="F30" s="848" t="s">
        <v>955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1748</v>
      </c>
      <c r="C31" s="852" t="s">
        <v>959</v>
      </c>
      <c r="D31" s="790"/>
      <c r="E31" s="852"/>
      <c r="F31" s="852"/>
      <c r="G31" s="788" t="s">
        <v>960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945</v>
      </c>
      <c r="D32" s="856" t="s">
        <v>953</v>
      </c>
      <c r="E32" s="856" t="s">
        <v>954</v>
      </c>
      <c r="F32" s="672" t="s">
        <v>948</v>
      </c>
      <c r="G32" s="817" t="s">
        <v>945</v>
      </c>
      <c r="H32" s="817" t="s">
        <v>953</v>
      </c>
      <c r="I32" s="817" t="s">
        <v>954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1" t="s">
        <v>1736</v>
      </c>
      <c r="B33" s="859" t="s">
        <v>280</v>
      </c>
      <c r="C33" s="26">
        <f ca="1">ROUND(D5*C19*C20*C24*F33,0)</f>
        <v>5752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1438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2"/>
      <c r="B34" s="307" t="s">
        <v>281</v>
      </c>
      <c r="C34" s="26">
        <f ca="1">ROUND(D5*C19*C20*C24*F34,0)</f>
        <v>3287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822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2"/>
      <c r="B35" s="307" t="s">
        <v>282</v>
      </c>
      <c r="C35" s="26">
        <f ca="1">ROUND(D5*C19*C20*C24*F35,0)</f>
        <v>2301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575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3"/>
      <c r="B36" s="307" t="s">
        <v>283</v>
      </c>
      <c r="C36" s="26">
        <f ca="1">ROUND(D5*C19*C20*C24*F36,0)</f>
        <v>2054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514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284</v>
      </c>
      <c r="C37" s="25">
        <f ca="1">ROUND(D5*C19*C20*C24*F37,0)</f>
        <v>2054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514</v>
      </c>
      <c r="H37" s="25">
        <f t="shared" si="3"/>
        <v>0</v>
      </c>
      <c r="I37" s="25">
        <f t="shared" ca="1" si="2"/>
        <v>0</v>
      </c>
      <c r="J37" s="860"/>
      <c r="L37" s="862" t="s">
        <v>956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285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947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286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944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7" t="s">
        <v>1749</v>
      </c>
      <c r="C41" s="1458">
        <f ca="1">ROUND(POWER(1+E41,H41-G41)*(POWER(1+E41,G41)-1)/(POWER(1+E41,H41)-1),4)</f>
        <v>0</v>
      </c>
      <c r="D41" s="25" t="s">
        <v>1746</v>
      </c>
      <c r="E41" s="1456">
        <f ca="1">G20</f>
        <v>5.8999999999999997E-2</v>
      </c>
      <c r="F41" s="25" t="s">
        <v>1747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889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 hidden="1">
      <c r="A46" s="227" t="s">
        <v>278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 hidden="1">
      <c r="A47" s="231" t="s">
        <v>890</v>
      </c>
      <c r="B47" s="232" t="s">
        <v>891</v>
      </c>
      <c r="C47" s="232" t="s">
        <v>892</v>
      </c>
      <c r="D47" s="232" t="s">
        <v>1453</v>
      </c>
      <c r="E47" s="747" t="s">
        <v>1454</v>
      </c>
      <c r="F47" s="869" t="s">
        <v>1139</v>
      </c>
      <c r="G47" s="232" t="s">
        <v>1475</v>
      </c>
      <c r="H47" s="870" t="s">
        <v>1155</v>
      </c>
      <c r="I47" s="232" t="s">
        <v>1474</v>
      </c>
      <c r="J47" s="748" t="s">
        <v>1455</v>
      </c>
      <c r="K47" s="748" t="s">
        <v>1456</v>
      </c>
      <c r="L47" s="748" t="s">
        <v>1457</v>
      </c>
      <c r="M47" s="748" t="s">
        <v>1458</v>
      </c>
      <c r="N47" s="748" t="s">
        <v>1459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 hidden="1">
      <c r="A48" s="231" t="s">
        <v>893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 hidden="1">
      <c r="A49" s="231" t="s">
        <v>894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 hidden="1">
      <c r="A50" s="231" t="s">
        <v>895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 hidden="1">
      <c r="A51" s="231" t="s">
        <v>896</v>
      </c>
      <c r="B51" s="1451" t="s">
        <v>1733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 hidden="1">
      <c r="A52" s="231" t="s">
        <v>897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 hidden="1">
      <c r="A53" s="231" t="s">
        <v>898</v>
      </c>
      <c r="B53" s="1452" t="s">
        <v>1734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 hidden="1">
      <c r="A54" s="239" t="s">
        <v>899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 hidden="1">
      <c r="A55" s="239" t="s">
        <v>900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hidden="1" thickBot="1">
      <c r="A56" s="241" t="s">
        <v>901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 hidden="1">
      <c r="A57" s="227" t="s">
        <v>1300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 hidden="1">
      <c r="A58" s="231" t="s">
        <v>890</v>
      </c>
      <c r="B58" s="232"/>
      <c r="C58" s="232" t="s">
        <v>892</v>
      </c>
      <c r="D58" s="232" t="s">
        <v>1453</v>
      </c>
      <c r="E58" s="747" t="s">
        <v>1460</v>
      </c>
      <c r="F58" s="869" t="s">
        <v>1139</v>
      </c>
      <c r="G58" s="232" t="s">
        <v>1476</v>
      </c>
      <c r="H58" s="870" t="s">
        <v>1156</v>
      </c>
      <c r="I58" s="232" t="s">
        <v>1474</v>
      </c>
      <c r="J58" s="748" t="s">
        <v>14</v>
      </c>
      <c r="K58" s="748" t="s">
        <v>13</v>
      </c>
      <c r="L58" s="748" t="s">
        <v>1461</v>
      </c>
      <c r="M58" s="748" t="s">
        <v>1462</v>
      </c>
      <c r="N58" s="748" t="s">
        <v>1463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 hidden="1">
      <c r="A59" s="231" t="s">
        <v>902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 hidden="1">
      <c r="A60" s="231" t="s">
        <v>894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 hidden="1">
      <c r="A61" s="231" t="s">
        <v>895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 hidden="1">
      <c r="A62" s="231" t="s">
        <v>896</v>
      </c>
      <c r="B62" s="1451" t="s">
        <v>1733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 hidden="1">
      <c r="A63" s="231" t="s">
        <v>897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 hidden="1">
      <c r="A64" s="231" t="s">
        <v>898</v>
      </c>
      <c r="B64" s="1452" t="s">
        <v>1734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 hidden="1">
      <c r="A65" s="231" t="s">
        <v>899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 hidden="1">
      <c r="A66" s="231" t="s">
        <v>900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hidden="1" thickBot="1">
      <c r="A67" s="241" t="s">
        <v>901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1301</v>
      </c>
      <c r="B68" s="453">
        <f>1+E70</f>
        <v>1.0365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890</v>
      </c>
      <c r="B69" s="232"/>
      <c r="C69" s="232" t="s">
        <v>892</v>
      </c>
      <c r="D69" s="232" t="s">
        <v>1453</v>
      </c>
      <c r="E69" s="747" t="s">
        <v>1460</v>
      </c>
      <c r="F69" s="869" t="s">
        <v>1139</v>
      </c>
      <c r="G69" s="232" t="s">
        <v>1476</v>
      </c>
      <c r="H69" s="870" t="s">
        <v>1156</v>
      </c>
      <c r="I69" s="232" t="s">
        <v>1474</v>
      </c>
      <c r="J69" s="748" t="s">
        <v>14</v>
      </c>
      <c r="K69" s="748" t="s">
        <v>13</v>
      </c>
      <c r="L69" s="748" t="s">
        <v>1461</v>
      </c>
      <c r="M69" s="748" t="s">
        <v>1462</v>
      </c>
      <c r="N69" s="748" t="s">
        <v>1463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903</v>
      </c>
      <c r="B70" s="235" t="str">
        <f>估价对象房地状况!C3</f>
        <v>估价对象周边居住用地比例、居住小区规模和社区发展完善程度，综合评价居住社区成熟度一般</v>
      </c>
      <c r="C70" s="749" t="s">
        <v>1795</v>
      </c>
      <c r="D70" s="456">
        <f t="shared" ref="D70:D78" si="14">SUMIF($J$69:$N$69,C70,J70:N70)</f>
        <v>7.000000000000001E-3</v>
      </c>
      <c r="E70" s="237">
        <f>ROUND(SUM(D70:D78),4)</f>
        <v>3.6499999999999998E-2</v>
      </c>
      <c r="F70" s="884">
        <f>IF(E2="住宅/居住",SUMIF(L1:L12,G2,N1:N12),"——")</f>
        <v>0.127</v>
      </c>
      <c r="G70" s="457">
        <v>7.000000000000001E-3</v>
      </c>
      <c r="H70" s="459">
        <f t="shared" ref="H70:H78" si="15">IFERROR($F$70*I70/2,"——")</f>
        <v>8.8900000000000003E-3</v>
      </c>
      <c r="I70" s="236">
        <v>0.14000000000000001</v>
      </c>
      <c r="J70" s="458">
        <f t="shared" ref="J70:J78" si="16">K70+$G70</f>
        <v>1.4000000000000002E-2</v>
      </c>
      <c r="K70" s="458">
        <f t="shared" ref="K70:K78" si="17">$L70+$G70</f>
        <v>7.000000000000001E-3</v>
      </c>
      <c r="L70" s="458">
        <v>0</v>
      </c>
      <c r="M70" s="458">
        <f t="shared" ref="M70:N78" si="18">L70-$G70</f>
        <v>-7.000000000000001E-3</v>
      </c>
      <c r="N70" s="458">
        <f t="shared" si="18"/>
        <v>-1.4000000000000002E-2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894</v>
      </c>
      <c r="B71" s="232" t="str">
        <f>估价对象房地状况!C6</f>
        <v>估价对象周边道路状况、公共交通通达情况、停车便捷程度，综合评价交通便捷度较好</v>
      </c>
      <c r="C71" s="1657" t="s">
        <v>15</v>
      </c>
      <c r="D71" s="456">
        <f t="shared" si="14"/>
        <v>0</v>
      </c>
      <c r="E71" s="246"/>
      <c r="F71" s="885"/>
      <c r="G71" s="457">
        <v>1.4999999999999999E-2</v>
      </c>
      <c r="H71" s="459">
        <f t="shared" si="15"/>
        <v>1.9050000000000001E-2</v>
      </c>
      <c r="I71" s="236">
        <v>0.3</v>
      </c>
      <c r="J71" s="458">
        <f t="shared" si="16"/>
        <v>0.03</v>
      </c>
      <c r="K71" s="458">
        <f t="shared" si="17"/>
        <v>1.4999999999999999E-2</v>
      </c>
      <c r="L71" s="458">
        <v>0</v>
      </c>
      <c r="M71" s="458">
        <f t="shared" si="18"/>
        <v>-1.4999999999999999E-2</v>
      </c>
      <c r="N71" s="458">
        <f t="shared" si="18"/>
        <v>-0.03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895</v>
      </c>
      <c r="B72" s="232" t="str">
        <f>估价对象房地状况!C7</f>
        <v>零星有其他用地，基本不影响本宗地</v>
      </c>
      <c r="C72" s="749" t="s">
        <v>1795</v>
      </c>
      <c r="D72" s="456">
        <f t="shared" si="14"/>
        <v>4.0000000000000001E-3</v>
      </c>
      <c r="E72" s="246"/>
      <c r="F72" s="885"/>
      <c r="G72" s="457">
        <v>4.0000000000000001E-3</v>
      </c>
      <c r="H72" s="459">
        <f t="shared" si="15"/>
        <v>5.0800000000000003E-3</v>
      </c>
      <c r="I72" s="236">
        <v>0.08</v>
      </c>
      <c r="J72" s="458">
        <f t="shared" si="16"/>
        <v>8.0000000000000002E-3</v>
      </c>
      <c r="K72" s="458">
        <f t="shared" si="17"/>
        <v>4.0000000000000001E-3</v>
      </c>
      <c r="L72" s="458">
        <v>0</v>
      </c>
      <c r="M72" s="458">
        <f t="shared" si="18"/>
        <v>-4.0000000000000001E-3</v>
      </c>
      <c r="N72" s="458">
        <f t="shared" si="18"/>
        <v>-8.0000000000000002E-3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904</v>
      </c>
      <c r="B73" s="232">
        <f>估价对象房地状况!C12</f>
        <v>0</v>
      </c>
      <c r="C73" s="749" t="s">
        <v>15</v>
      </c>
      <c r="D73" s="456">
        <f t="shared" si="14"/>
        <v>0</v>
      </c>
      <c r="E73" s="246"/>
      <c r="F73" s="885"/>
      <c r="G73" s="457">
        <v>2E-3</v>
      </c>
      <c r="H73" s="459">
        <f t="shared" si="15"/>
        <v>2.5400000000000002E-3</v>
      </c>
      <c r="I73" s="236">
        <v>0.04</v>
      </c>
      <c r="J73" s="458">
        <f t="shared" si="16"/>
        <v>4.0000000000000001E-3</v>
      </c>
      <c r="K73" s="458">
        <f t="shared" si="17"/>
        <v>2E-3</v>
      </c>
      <c r="L73" s="458">
        <v>0</v>
      </c>
      <c r="M73" s="458">
        <f t="shared" si="18"/>
        <v>-2E-3</v>
      </c>
      <c r="N73" s="458">
        <f t="shared" si="18"/>
        <v>-4.0000000000000001E-3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899</v>
      </c>
      <c r="B74" s="240" t="str">
        <f>估价对象房地状况!C9</f>
        <v>估价对象所在区域公共配套设施齐备情况</v>
      </c>
      <c r="C74" s="749" t="s">
        <v>1795</v>
      </c>
      <c r="D74" s="456">
        <f t="shared" si="14"/>
        <v>4.0000000000000001E-3</v>
      </c>
      <c r="E74" s="246"/>
      <c r="F74" s="885"/>
      <c r="G74" s="457">
        <v>4.0000000000000001E-3</v>
      </c>
      <c r="H74" s="459">
        <f t="shared" si="15"/>
        <v>5.0800000000000003E-3</v>
      </c>
      <c r="I74" s="236">
        <v>0.08</v>
      </c>
      <c r="J74" s="458">
        <f t="shared" si="16"/>
        <v>8.0000000000000002E-3</v>
      </c>
      <c r="K74" s="458">
        <f t="shared" si="17"/>
        <v>4.0000000000000001E-3</v>
      </c>
      <c r="L74" s="458">
        <v>0</v>
      </c>
      <c r="M74" s="458">
        <f t="shared" si="18"/>
        <v>-4.0000000000000001E-3</v>
      </c>
      <c r="N74" s="458">
        <f t="shared" si="18"/>
        <v>-8.0000000000000002E-3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900</v>
      </c>
      <c r="B75" s="240" t="str">
        <f>估价对象房地状况!C10</f>
        <v>估价对象所在区域基础设施水平</v>
      </c>
      <c r="C75" s="749" t="s">
        <v>1797</v>
      </c>
      <c r="D75" s="456">
        <f t="shared" si="14"/>
        <v>1.2E-2</v>
      </c>
      <c r="E75" s="246"/>
      <c r="F75" s="885"/>
      <c r="G75" s="457">
        <v>6.0000000000000001E-3</v>
      </c>
      <c r="H75" s="459">
        <f t="shared" si="15"/>
        <v>7.62E-3</v>
      </c>
      <c r="I75" s="236">
        <v>0.12</v>
      </c>
      <c r="J75" s="458">
        <f t="shared" si="16"/>
        <v>1.2E-2</v>
      </c>
      <c r="K75" s="458">
        <f t="shared" si="17"/>
        <v>6.0000000000000001E-3</v>
      </c>
      <c r="L75" s="458">
        <v>0</v>
      </c>
      <c r="M75" s="458">
        <f t="shared" si="18"/>
        <v>-6.0000000000000001E-3</v>
      </c>
      <c r="N75" s="458">
        <f t="shared" si="18"/>
        <v>-1.2E-2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898</v>
      </c>
      <c r="B76" s="1452" t="s">
        <v>1734</v>
      </c>
      <c r="C76" s="749" t="s">
        <v>15</v>
      </c>
      <c r="D76" s="456">
        <f t="shared" si="14"/>
        <v>0</v>
      </c>
      <c r="E76" s="246"/>
      <c r="F76" s="885"/>
      <c r="G76" s="457">
        <v>2.5000000000000005E-3</v>
      </c>
      <c r="H76" s="459">
        <f t="shared" si="15"/>
        <v>3.1750000000000003E-3</v>
      </c>
      <c r="I76" s="236">
        <v>0.05</v>
      </c>
      <c r="J76" s="458">
        <f t="shared" si="16"/>
        <v>5.000000000000001E-3</v>
      </c>
      <c r="K76" s="458">
        <f t="shared" si="17"/>
        <v>2.5000000000000005E-3</v>
      </c>
      <c r="L76" s="458">
        <v>0</v>
      </c>
      <c r="M76" s="458">
        <f t="shared" si="18"/>
        <v>-2.5000000000000005E-3</v>
      </c>
      <c r="N76" s="458">
        <f t="shared" si="18"/>
        <v>-5.000000000000001E-3</v>
      </c>
      <c r="Z76" s="666"/>
      <c r="AA76" s="667"/>
      <c r="AG76" s="668"/>
      <c r="AK76" s="667"/>
    </row>
    <row r="77" spans="1:37" ht="36">
      <c r="A77" s="231" t="s">
        <v>901</v>
      </c>
      <c r="B77" s="235" t="str">
        <f>估价对象房地状况!C8</f>
        <v>区域自然环境：；人文环境；综合评价环境状况一般</v>
      </c>
      <c r="C77" s="749" t="s">
        <v>1795</v>
      </c>
      <c r="D77" s="456">
        <f t="shared" si="14"/>
        <v>7.4999999999999997E-3</v>
      </c>
      <c r="E77" s="246"/>
      <c r="F77" s="885"/>
      <c r="G77" s="457">
        <v>7.4999999999999997E-3</v>
      </c>
      <c r="H77" s="459">
        <f t="shared" si="15"/>
        <v>9.5250000000000005E-3</v>
      </c>
      <c r="I77" s="236">
        <v>0.15</v>
      </c>
      <c r="J77" s="458">
        <f t="shared" si="16"/>
        <v>1.4999999999999999E-2</v>
      </c>
      <c r="K77" s="458">
        <f t="shared" si="17"/>
        <v>7.4999999999999997E-3</v>
      </c>
      <c r="L77" s="458">
        <v>0</v>
      </c>
      <c r="M77" s="458">
        <f t="shared" si="18"/>
        <v>-7.4999999999999997E-3</v>
      </c>
      <c r="N77" s="458">
        <f t="shared" si="18"/>
        <v>-1.4999999999999999E-2</v>
      </c>
      <c r="Z77" s="666"/>
      <c r="AA77" s="667"/>
      <c r="AG77" s="668"/>
      <c r="AK77" s="667"/>
    </row>
    <row r="78" spans="1:37" ht="24.75" thickBot="1">
      <c r="A78" s="241" t="s">
        <v>905</v>
      </c>
      <c r="B78" s="455"/>
      <c r="C78" s="749" t="s">
        <v>1795</v>
      </c>
      <c r="D78" s="456">
        <f t="shared" si="14"/>
        <v>2E-3</v>
      </c>
      <c r="E78" s="247"/>
      <c r="F78" s="885"/>
      <c r="G78" s="457">
        <v>2E-3</v>
      </c>
      <c r="H78" s="459">
        <f t="shared" si="15"/>
        <v>2.5400000000000002E-3</v>
      </c>
      <c r="I78" s="243">
        <v>0.04</v>
      </c>
      <c r="J78" s="458">
        <f t="shared" si="16"/>
        <v>4.0000000000000001E-3</v>
      </c>
      <c r="K78" s="458">
        <f t="shared" si="17"/>
        <v>2E-3</v>
      </c>
      <c r="L78" s="458">
        <v>0</v>
      </c>
      <c r="M78" s="458">
        <f t="shared" si="18"/>
        <v>-2E-3</v>
      </c>
      <c r="N78" s="458">
        <f t="shared" si="18"/>
        <v>-4.0000000000000001E-3</v>
      </c>
      <c r="Z78" s="666"/>
      <c r="AA78" s="667"/>
      <c r="AG78" s="668"/>
      <c r="AK78" s="667"/>
    </row>
    <row r="79" spans="1:37" ht="13.5">
      <c r="A79" s="227" t="s">
        <v>315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890</v>
      </c>
      <c r="B80" s="232"/>
      <c r="C80" s="232" t="s">
        <v>892</v>
      </c>
      <c r="D80" s="232" t="s">
        <v>1453</v>
      </c>
      <c r="E80" s="747" t="s">
        <v>1460</v>
      </c>
      <c r="F80" s="869" t="s">
        <v>1139</v>
      </c>
      <c r="G80" s="232" t="s">
        <v>1476</v>
      </c>
      <c r="H80" s="870" t="s">
        <v>1156</v>
      </c>
      <c r="I80" s="232" t="s">
        <v>1474</v>
      </c>
      <c r="J80" s="748" t="s">
        <v>14</v>
      </c>
      <c r="K80" s="748" t="s">
        <v>13</v>
      </c>
      <c r="L80" s="748" t="s">
        <v>1461</v>
      </c>
      <c r="M80" s="748" t="s">
        <v>1462</v>
      </c>
      <c r="N80" s="748" t="s">
        <v>1463</v>
      </c>
      <c r="Z80" s="666"/>
      <c r="AA80" s="667"/>
      <c r="AG80" s="668"/>
      <c r="AK80" s="667"/>
    </row>
    <row r="81" spans="1:37" ht="36">
      <c r="A81" s="231" t="s">
        <v>906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894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895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904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899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900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898</v>
      </c>
      <c r="B87" s="1452" t="s">
        <v>1734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907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0" t="s">
        <v>1157</v>
      </c>
      <c r="B91" s="1700"/>
      <c r="C91" s="1700"/>
      <c r="D91" s="1700"/>
      <c r="E91" s="1700"/>
      <c r="F91" s="1700"/>
      <c r="G91" s="1700"/>
      <c r="H91" s="1700"/>
      <c r="I91" s="1700"/>
      <c r="J91" s="1700"/>
      <c r="K91" s="611"/>
      <c r="L91" s="611"/>
      <c r="M91" s="611"/>
      <c r="N91" s="611"/>
    </row>
    <row r="92" spans="1:37">
      <c r="A92" s="1708" t="s">
        <v>1158</v>
      </c>
      <c r="B92" s="1708" t="s">
        <v>1159</v>
      </c>
      <c r="C92" s="321" t="s">
        <v>1160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8"/>
      <c r="B93" s="1708"/>
      <c r="C93" s="309" t="s">
        <v>1161</v>
      </c>
      <c r="D93" s="309" t="s">
        <v>1162</v>
      </c>
      <c r="E93" s="309" t="s">
        <v>1163</v>
      </c>
      <c r="F93" s="309" t="s">
        <v>1164</v>
      </c>
      <c r="G93" s="309" t="s">
        <v>1165</v>
      </c>
      <c r="H93" s="309" t="s">
        <v>1166</v>
      </c>
      <c r="I93" s="309" t="s">
        <v>1167</v>
      </c>
      <c r="J93" s="309" t="s">
        <v>1168</v>
      </c>
      <c r="K93" s="309" t="s">
        <v>1169</v>
      </c>
      <c r="L93" s="309" t="s">
        <v>1170</v>
      </c>
      <c r="M93" s="309" t="s">
        <v>1171</v>
      </c>
      <c r="N93" s="309" t="s">
        <v>1172</v>
      </c>
    </row>
    <row r="94" spans="1:37" ht="12.75">
      <c r="A94" s="1709" t="s">
        <v>1477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710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710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710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710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710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710"/>
      <c r="B100" s="886" t="s">
        <v>1480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711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709" t="s">
        <v>1478</v>
      </c>
      <c r="B102" s="890" t="s">
        <v>1481</v>
      </c>
      <c r="C102" s="891">
        <f>$G$3</f>
        <v>1</v>
      </c>
      <c r="D102" s="891">
        <f t="shared" ref="D102:N102" si="25">$G$3</f>
        <v>1</v>
      </c>
      <c r="E102" s="891">
        <f t="shared" si="25"/>
        <v>1</v>
      </c>
      <c r="F102" s="891">
        <f t="shared" si="25"/>
        <v>1</v>
      </c>
      <c r="G102" s="891">
        <f t="shared" si="25"/>
        <v>1</v>
      </c>
      <c r="H102" s="891">
        <f t="shared" si="25"/>
        <v>1</v>
      </c>
      <c r="I102" s="891">
        <f t="shared" si="25"/>
        <v>1</v>
      </c>
      <c r="J102" s="891">
        <f t="shared" si="25"/>
        <v>1</v>
      </c>
      <c r="K102" s="891">
        <f t="shared" si="25"/>
        <v>1</v>
      </c>
      <c r="L102" s="891">
        <f t="shared" si="25"/>
        <v>1</v>
      </c>
      <c r="M102" s="891">
        <f t="shared" si="25"/>
        <v>1</v>
      </c>
      <c r="N102" s="891">
        <f t="shared" si="25"/>
        <v>1</v>
      </c>
    </row>
    <row r="103" spans="1:14" ht="12.75">
      <c r="A103" s="1710"/>
      <c r="B103" s="886">
        <v>1</v>
      </c>
      <c r="C103" s="887">
        <f>1.9362/C102</f>
        <v>1.9361999999999999</v>
      </c>
      <c r="D103" s="887">
        <f>1.9362/D102</f>
        <v>1.9361999999999999</v>
      </c>
      <c r="E103" s="887">
        <f>1.8629/E102</f>
        <v>1.8629</v>
      </c>
      <c r="F103" s="887">
        <f>1.8629/F102</f>
        <v>1.8629</v>
      </c>
      <c r="G103" s="887">
        <f>1.8629/G102</f>
        <v>1.8629</v>
      </c>
      <c r="H103" s="887">
        <f>1.8629/H102</f>
        <v>1.8629</v>
      </c>
      <c r="I103" s="887">
        <f>1.8629/I102</f>
        <v>1.8629</v>
      </c>
      <c r="J103" s="887">
        <f>1.942/J102</f>
        <v>1.9419999999999999</v>
      </c>
      <c r="K103" s="887">
        <f>1.942/K102</f>
        <v>1.9419999999999999</v>
      </c>
      <c r="L103" s="887">
        <f>1.942/L102</f>
        <v>1.9419999999999999</v>
      </c>
      <c r="M103" s="887">
        <f>1.942/M102</f>
        <v>1.9419999999999999</v>
      </c>
      <c r="N103" s="887">
        <f>1.942/N102</f>
        <v>1.9419999999999999</v>
      </c>
    </row>
    <row r="104" spans="1:14" ht="12.75">
      <c r="A104" s="1710"/>
      <c r="B104" s="886">
        <v>2</v>
      </c>
      <c r="C104" s="887">
        <f>1.4198/C102</f>
        <v>1.4198</v>
      </c>
      <c r="D104" s="887">
        <f>1.4198/D102</f>
        <v>1.4198</v>
      </c>
      <c r="E104" s="887">
        <f>1.3372/E102</f>
        <v>1.3371999999999999</v>
      </c>
      <c r="F104" s="887">
        <f>1.3372/F102</f>
        <v>1.3371999999999999</v>
      </c>
      <c r="G104" s="887">
        <f>1.3372/G102</f>
        <v>1.3371999999999999</v>
      </c>
      <c r="H104" s="887">
        <f>1.3372/H102</f>
        <v>1.3371999999999999</v>
      </c>
      <c r="I104" s="887">
        <f>1.3372/I102</f>
        <v>1.3371999999999999</v>
      </c>
      <c r="J104" s="887">
        <f>1.2799/J102</f>
        <v>1.2799</v>
      </c>
      <c r="K104" s="887">
        <f>1.2799/K102</f>
        <v>1.2799</v>
      </c>
      <c r="L104" s="887">
        <f>1.2799/L102</f>
        <v>1.2799</v>
      </c>
      <c r="M104" s="887">
        <f>1.2799/M102</f>
        <v>1.2799</v>
      </c>
      <c r="N104" s="887">
        <f>1.2799/N102</f>
        <v>1.2799</v>
      </c>
    </row>
    <row r="105" spans="1:14" ht="12.75">
      <c r="A105" s="1710"/>
      <c r="B105" s="886">
        <v>3</v>
      </c>
      <c r="C105" s="887">
        <f>1.1594/C102</f>
        <v>1.1594</v>
      </c>
      <c r="D105" s="887">
        <f>1.1594/D102</f>
        <v>1.1594</v>
      </c>
      <c r="E105" s="887">
        <f>1.0788/E102</f>
        <v>1.0788</v>
      </c>
      <c r="F105" s="887">
        <f>1.0788/F102</f>
        <v>1.0788</v>
      </c>
      <c r="G105" s="887">
        <f>1.0788/G102</f>
        <v>1.0788</v>
      </c>
      <c r="H105" s="887">
        <f>1.0788/H102</f>
        <v>1.0788</v>
      </c>
      <c r="I105" s="887">
        <f>1.0788/I102</f>
        <v>1.0788</v>
      </c>
      <c r="J105" s="887">
        <f>1.0072/J102</f>
        <v>1.0072000000000001</v>
      </c>
      <c r="K105" s="887">
        <f>1.0072/K102</f>
        <v>1.0072000000000001</v>
      </c>
      <c r="L105" s="887">
        <f>1.0072/L102</f>
        <v>1.0072000000000001</v>
      </c>
      <c r="M105" s="887">
        <f>1.0072/M102</f>
        <v>1.0072000000000001</v>
      </c>
      <c r="N105" s="887">
        <f>1.0072/N102</f>
        <v>1.0072000000000001</v>
      </c>
    </row>
    <row r="106" spans="1:14" ht="12.75">
      <c r="A106" s="1710"/>
      <c r="B106" s="886">
        <v>4</v>
      </c>
      <c r="C106" s="887">
        <f>0.9622/C102</f>
        <v>0.96220000000000006</v>
      </c>
      <c r="D106" s="887">
        <f>0.9622/D102</f>
        <v>0.96220000000000006</v>
      </c>
      <c r="E106" s="887">
        <f>0.8656/E102</f>
        <v>0.86560000000000004</v>
      </c>
      <c r="F106" s="887">
        <f>0.8656/F102</f>
        <v>0.86560000000000004</v>
      </c>
      <c r="G106" s="887">
        <f>0.8656/G102</f>
        <v>0.86560000000000004</v>
      </c>
      <c r="H106" s="887">
        <f>0.8656/H102</f>
        <v>0.86560000000000004</v>
      </c>
      <c r="I106" s="887">
        <f>0.8656/I102</f>
        <v>0.86560000000000004</v>
      </c>
      <c r="J106" s="887">
        <f>0.7525/J102</f>
        <v>0.75249999999999995</v>
      </c>
      <c r="K106" s="887">
        <f>0.7525/K102</f>
        <v>0.75249999999999995</v>
      </c>
      <c r="L106" s="887">
        <f>0.7525/L102</f>
        <v>0.75249999999999995</v>
      </c>
      <c r="M106" s="887">
        <f>0.7525/M102</f>
        <v>0.75249999999999995</v>
      </c>
      <c r="N106" s="887">
        <f>0.7525/N102</f>
        <v>0.75249999999999995</v>
      </c>
    </row>
    <row r="107" spans="1:14" ht="12.75">
      <c r="A107" s="1710"/>
      <c r="B107" s="886">
        <v>5</v>
      </c>
      <c r="C107" s="887">
        <f>0.8417/C102</f>
        <v>0.8417</v>
      </c>
      <c r="D107" s="887">
        <f>0.8417/D102</f>
        <v>0.8417</v>
      </c>
      <c r="E107" s="887">
        <f>0.7371/E102</f>
        <v>0.73709999999999998</v>
      </c>
      <c r="F107" s="887">
        <f>0.7371/F102</f>
        <v>0.73709999999999998</v>
      </c>
      <c r="G107" s="887">
        <f>0.7371/G102</f>
        <v>0.73709999999999998</v>
      </c>
      <c r="H107" s="887">
        <f>0.7371/H102</f>
        <v>0.73709999999999998</v>
      </c>
      <c r="I107" s="887">
        <f>0.7371/I102</f>
        <v>0.73709999999999998</v>
      </c>
      <c r="J107" s="887">
        <f>0.5659/J102</f>
        <v>0.56589999999999996</v>
      </c>
      <c r="K107" s="887">
        <f>0.5659/K102</f>
        <v>0.56589999999999996</v>
      </c>
      <c r="L107" s="887">
        <f>0.5659/L102</f>
        <v>0.56589999999999996</v>
      </c>
      <c r="M107" s="887">
        <f>0.5659/M102</f>
        <v>0.56589999999999996</v>
      </c>
      <c r="N107" s="887">
        <f>0.5659/N102</f>
        <v>0.56589999999999996</v>
      </c>
    </row>
    <row r="108" spans="1:14" ht="12.75">
      <c r="A108" s="1710"/>
      <c r="B108" s="886">
        <v>6</v>
      </c>
      <c r="C108" s="887">
        <f>0.7608/C102</f>
        <v>0.76080000000000003</v>
      </c>
      <c r="D108" s="887">
        <f>0.7608/D102</f>
        <v>0.76080000000000003</v>
      </c>
      <c r="E108" s="887">
        <f>0.6482/E102</f>
        <v>0.6482</v>
      </c>
      <c r="F108" s="887">
        <f>0.6482/F102</f>
        <v>0.6482</v>
      </c>
      <c r="G108" s="887">
        <f>0.6482/G102</f>
        <v>0.6482</v>
      </c>
      <c r="H108" s="887">
        <f>0.6482/H102</f>
        <v>0.6482</v>
      </c>
      <c r="I108" s="887">
        <f>0.6482/I102</f>
        <v>0.6482</v>
      </c>
      <c r="J108" s="887">
        <f>0.4525/J102</f>
        <v>0.45250000000000001</v>
      </c>
      <c r="K108" s="887">
        <f>0.4525/K102</f>
        <v>0.45250000000000001</v>
      </c>
      <c r="L108" s="887">
        <f>0.4525/L102</f>
        <v>0.45250000000000001</v>
      </c>
      <c r="M108" s="887">
        <f>0.4525/M102</f>
        <v>0.45250000000000001</v>
      </c>
      <c r="N108" s="887">
        <f>0.4525/N102</f>
        <v>0.45250000000000001</v>
      </c>
    </row>
    <row r="109" spans="1:14" ht="12.75">
      <c r="A109" s="1710"/>
      <c r="B109" s="1712" t="s">
        <v>1482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711"/>
      <c r="B110" s="1713"/>
      <c r="C110" s="889">
        <f>(-0.163*(C109^2)-0.59*C109+7617)*(10^(-4))/C102</f>
        <v>0.76162470000000004</v>
      </c>
      <c r="D110" s="889">
        <f>(-0.163*(D109^2)-0.59*D109+7617)*(10^(-4))/D102</f>
        <v>0.76162470000000004</v>
      </c>
      <c r="E110" s="889">
        <f>(-0.161*(E109^2)-7.509*E109+6533)*(10^(-4))/E102</f>
        <v>0.65253300000000003</v>
      </c>
      <c r="F110" s="889">
        <f>(-0.161*(F109^2)-7.509*F109+6533)*(10^(-4))/F102</f>
        <v>0.65253300000000003</v>
      </c>
      <c r="G110" s="889">
        <f>(-0.161*(G109^2)-7.509*G109+6533)*(10^(-4))/G102</f>
        <v>0.65253300000000003</v>
      </c>
      <c r="H110" s="889">
        <f>(-0.161*(H109^2)-7.509*H109+6533)*(10^(-4))/H102</f>
        <v>0.65253300000000003</v>
      </c>
      <c r="I110" s="889">
        <f>(-0.161*(I109^2)-7.509*I109+6533)*(10^(-4))/I102</f>
        <v>0.65253300000000003</v>
      </c>
      <c r="J110" s="889">
        <f>(-0.214*(J109^2)-21.991*J109+4665)*(10^(-4))/J102</f>
        <v>0.46427950000000001</v>
      </c>
      <c r="K110" s="889">
        <f>(-0.214*(K109^2)-21.991*K109+4665)*(10^(-4))/K102</f>
        <v>0.46427950000000001</v>
      </c>
      <c r="L110" s="889">
        <f>(-0.214*(L109^2)-21.991*L109+4665)*(10^(-4))/L102</f>
        <v>0.46427950000000001</v>
      </c>
      <c r="M110" s="889">
        <f>(-0.214*(M109^2)-21.991*M109+4665)*(10^(-4))/M102</f>
        <v>0.46427950000000001</v>
      </c>
      <c r="N110" s="889">
        <f>(-0.214*(N109^2)-21.991*N109+4665)*(10^(-4))/N102</f>
        <v>0.46427950000000001</v>
      </c>
    </row>
    <row r="111" spans="1:14">
      <c r="A111" s="1707" t="s">
        <v>1173</v>
      </c>
      <c r="B111" s="1707"/>
      <c r="C111" s="1707"/>
      <c r="D111" s="1707"/>
      <c r="E111" s="1707"/>
      <c r="F111" s="1707"/>
      <c r="G111" s="1707"/>
      <c r="H111" s="1707"/>
      <c r="I111" s="1707"/>
      <c r="J111" s="1707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1464</v>
      </c>
      <c r="B114" s="460">
        <f>G3</f>
        <v>1</v>
      </c>
      <c r="C114" s="872" t="s">
        <v>1465</v>
      </c>
      <c r="D114" s="330">
        <f>SUMPRODUCT((A116:A119=F114)*(B115:M115=H114)*B116:M119)</f>
        <v>0.86680000000000001</v>
      </c>
      <c r="E114" s="673" t="s">
        <v>1158</v>
      </c>
      <c r="F114" s="873" t="str">
        <f>E2</f>
        <v>住宅/居住</v>
      </c>
      <c r="G114" s="673" t="s">
        <v>1175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1161</v>
      </c>
      <c r="C115" s="875" t="s">
        <v>1162</v>
      </c>
      <c r="D115" s="875" t="s">
        <v>1163</v>
      </c>
      <c r="E115" s="876" t="s">
        <v>1164</v>
      </c>
      <c r="F115" s="876" t="s">
        <v>1165</v>
      </c>
      <c r="G115" s="876" t="s">
        <v>1166</v>
      </c>
      <c r="H115" s="877" t="s">
        <v>1167</v>
      </c>
      <c r="I115" s="877" t="s">
        <v>1168</v>
      </c>
      <c r="J115" s="878" t="s">
        <v>1169</v>
      </c>
      <c r="K115" s="878" t="s">
        <v>1170</v>
      </c>
      <c r="L115" s="878" t="s">
        <v>1171</v>
      </c>
      <c r="M115" s="879" t="s">
        <v>1172</v>
      </c>
    </row>
    <row r="116" spans="1:13" ht="12.75">
      <c r="A116" s="752" t="s">
        <v>0</v>
      </c>
      <c r="B116" s="333">
        <f>ROUND(0.9335-0.0094*B114,4)</f>
        <v>0.92410000000000003</v>
      </c>
      <c r="C116" s="333">
        <f>B116</f>
        <v>0.92410000000000003</v>
      </c>
      <c r="D116" s="333">
        <f>ROUND(0.8331-0.0109*B114,4)</f>
        <v>0.82220000000000004</v>
      </c>
      <c r="E116" s="333">
        <f>D116</f>
        <v>0.82220000000000004</v>
      </c>
      <c r="F116" s="333">
        <f>E116</f>
        <v>0.82220000000000004</v>
      </c>
      <c r="G116" s="333">
        <f>F116</f>
        <v>0.82220000000000004</v>
      </c>
      <c r="H116" s="333">
        <f>G116</f>
        <v>0.82220000000000004</v>
      </c>
      <c r="I116" s="333">
        <f>ROUND(0.689-0.0155*B114,4)</f>
        <v>0.67349999999999999</v>
      </c>
      <c r="J116" s="333">
        <f t="shared" ref="J116:M119" si="27">I116</f>
        <v>0.67349999999999999</v>
      </c>
      <c r="K116" s="333">
        <f t="shared" si="27"/>
        <v>0.67349999999999999</v>
      </c>
      <c r="L116" s="333">
        <f t="shared" si="27"/>
        <v>0.67349999999999999</v>
      </c>
      <c r="M116" s="334">
        <f t="shared" si="27"/>
        <v>0.67349999999999999</v>
      </c>
    </row>
    <row r="117" spans="1:13" ht="12.75">
      <c r="A117" s="752" t="s">
        <v>1300</v>
      </c>
      <c r="B117" s="333">
        <f>ROUND(0.949-0.012*B114,4)</f>
        <v>0.93700000000000006</v>
      </c>
      <c r="C117" s="333">
        <f>B117</f>
        <v>0.93700000000000006</v>
      </c>
      <c r="D117" s="333">
        <f>ROUND(0.8567-0.013*B114,4)</f>
        <v>0.84370000000000001</v>
      </c>
      <c r="E117" s="333">
        <f t="shared" ref="E117:H118" si="28">D117</f>
        <v>0.84370000000000001</v>
      </c>
      <c r="F117" s="333">
        <f t="shared" si="28"/>
        <v>0.84370000000000001</v>
      </c>
      <c r="G117" s="333">
        <f t="shared" si="28"/>
        <v>0.84370000000000001</v>
      </c>
      <c r="H117" s="333">
        <f t="shared" si="28"/>
        <v>0.84370000000000001</v>
      </c>
      <c r="I117" s="333">
        <f>ROUND(0.7694-0.014*B114,4)</f>
        <v>0.75539999999999996</v>
      </c>
      <c r="J117" s="333">
        <f t="shared" si="27"/>
        <v>0.75539999999999996</v>
      </c>
      <c r="K117" s="333">
        <f t="shared" si="27"/>
        <v>0.75539999999999996</v>
      </c>
      <c r="L117" s="333">
        <f t="shared" si="27"/>
        <v>0.75539999999999996</v>
      </c>
      <c r="M117" s="334">
        <f t="shared" si="27"/>
        <v>0.75539999999999996</v>
      </c>
    </row>
    <row r="118" spans="1:13" ht="12.75">
      <c r="A118" s="752" t="s">
        <v>1301</v>
      </c>
      <c r="B118" s="333">
        <f>ROUND(0.8808-0.006*B114,4)</f>
        <v>0.87480000000000002</v>
      </c>
      <c r="C118" s="333">
        <f>B118</f>
        <v>0.87480000000000002</v>
      </c>
      <c r="D118" s="333">
        <f>ROUND(0.8748-0.008*B114,4)</f>
        <v>0.86680000000000001</v>
      </c>
      <c r="E118" s="333">
        <f t="shared" si="28"/>
        <v>0.86680000000000001</v>
      </c>
      <c r="F118" s="333">
        <f t="shared" si="28"/>
        <v>0.86680000000000001</v>
      </c>
      <c r="G118" s="333">
        <f t="shared" si="28"/>
        <v>0.86680000000000001</v>
      </c>
      <c r="H118" s="333">
        <f t="shared" si="28"/>
        <v>0.86680000000000001</v>
      </c>
      <c r="I118" s="333">
        <f>ROUND(0.7412-0.0095*B114,4)</f>
        <v>0.73170000000000002</v>
      </c>
      <c r="J118" s="333">
        <f t="shared" si="27"/>
        <v>0.73170000000000002</v>
      </c>
      <c r="K118" s="333">
        <f t="shared" si="27"/>
        <v>0.73170000000000002</v>
      </c>
      <c r="L118" s="333">
        <f t="shared" si="27"/>
        <v>0.73170000000000002</v>
      </c>
      <c r="M118" s="334">
        <f t="shared" si="27"/>
        <v>0.73170000000000002</v>
      </c>
    </row>
    <row r="119" spans="1:13" ht="13.5" thickBot="1">
      <c r="A119" s="753" t="s">
        <v>225</v>
      </c>
      <c r="B119" s="335">
        <f>ROUND(0.7275-0.01*B114,4)</f>
        <v>0.71750000000000003</v>
      </c>
      <c r="C119" s="335">
        <f>B119</f>
        <v>0.71750000000000003</v>
      </c>
      <c r="D119" s="335">
        <f>ROUND(0.7043-0.012*B114,4)</f>
        <v>0.69230000000000003</v>
      </c>
      <c r="E119" s="335">
        <f>D119</f>
        <v>0.69230000000000003</v>
      </c>
      <c r="F119" s="335">
        <f>E119</f>
        <v>0.69230000000000003</v>
      </c>
      <c r="G119" s="335">
        <f>ROUND(0.6299-0.0122*B114,4)</f>
        <v>0.61770000000000003</v>
      </c>
      <c r="H119" s="335">
        <f>G119</f>
        <v>0.61770000000000003</v>
      </c>
      <c r="I119" s="335">
        <f>ROUND(0.5667-0.0136*B114,4)</f>
        <v>0.55310000000000004</v>
      </c>
      <c r="J119" s="335">
        <f t="shared" si="27"/>
        <v>0.55310000000000004</v>
      </c>
      <c r="K119" s="335">
        <f t="shared" si="27"/>
        <v>0.55310000000000004</v>
      </c>
      <c r="L119" s="335">
        <f t="shared" si="27"/>
        <v>0.55310000000000004</v>
      </c>
      <c r="M119" s="336">
        <f t="shared" si="27"/>
        <v>0.55310000000000004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4" t="s">
        <v>983</v>
      </c>
      <c r="B1" s="1714"/>
    </row>
    <row r="2" spans="1:6" ht="14.25" thickBot="1">
      <c r="A2" s="383"/>
      <c r="B2" s="383"/>
    </row>
    <row r="3" spans="1:6" ht="14.25" thickBot="1">
      <c r="A3" s="383"/>
      <c r="B3" s="383"/>
      <c r="C3" s="384" t="s">
        <v>984</v>
      </c>
      <c r="D3" s="384" t="s">
        <v>1298</v>
      </c>
      <c r="E3" s="384" t="s">
        <v>1299</v>
      </c>
      <c r="F3" s="384" t="s">
        <v>985</v>
      </c>
    </row>
    <row r="4" spans="1:6" ht="14.25" thickBot="1">
      <c r="A4" s="385" t="s">
        <v>986</v>
      </c>
      <c r="B4" s="386" t="s">
        <v>987</v>
      </c>
      <c r="C4" s="384"/>
      <c r="D4" s="384"/>
      <c r="E4" s="384"/>
      <c r="F4" s="384"/>
    </row>
    <row r="5" spans="1:6" ht="14.25" thickBot="1">
      <c r="A5" s="260" t="s">
        <v>988</v>
      </c>
      <c r="B5" s="261" t="s">
        <v>989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341</v>
      </c>
      <c r="B6" s="254" t="s">
        <v>990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341</v>
      </c>
      <c r="B7" s="268" t="s">
        <v>330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341</v>
      </c>
      <c r="B8" s="254" t="s">
        <v>342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341</v>
      </c>
      <c r="B9" s="269" t="s">
        <v>354</v>
      </c>
      <c r="C9" s="391">
        <v>0.05</v>
      </c>
      <c r="D9" s="392"/>
      <c r="E9" s="392"/>
      <c r="F9" s="393"/>
    </row>
    <row r="10" spans="1:6" ht="14.25" thickBot="1">
      <c r="A10" s="260" t="s">
        <v>401</v>
      </c>
      <c r="B10" s="261" t="s">
        <v>991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401</v>
      </c>
      <c r="B11" s="268" t="s">
        <v>317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401</v>
      </c>
      <c r="B12" s="268" t="s">
        <v>251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401</v>
      </c>
      <c r="B13" s="268" t="s">
        <v>343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401</v>
      </c>
      <c r="B14" s="268" t="s">
        <v>355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401</v>
      </c>
      <c r="B15" s="268" t="s">
        <v>367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401</v>
      </c>
      <c r="B16" s="268" t="s">
        <v>379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401</v>
      </c>
      <c r="B17" s="268" t="s">
        <v>391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401</v>
      </c>
      <c r="B18" s="268" t="s">
        <v>404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401</v>
      </c>
      <c r="B19" s="268" t="s">
        <v>415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401</v>
      </c>
      <c r="B20" s="268" t="s">
        <v>426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401</v>
      </c>
      <c r="B21" s="268" t="s">
        <v>437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401</v>
      </c>
      <c r="B22" s="268" t="s">
        <v>992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401</v>
      </c>
      <c r="B23" s="268" t="s">
        <v>459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401</v>
      </c>
      <c r="B24" s="268" t="s">
        <v>470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401</v>
      </c>
      <c r="B25" s="268" t="s">
        <v>480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401</v>
      </c>
      <c r="B26" s="268" t="s">
        <v>490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401</v>
      </c>
      <c r="B27" s="268" t="s">
        <v>500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401</v>
      </c>
      <c r="B28" s="269" t="s">
        <v>510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579</v>
      </c>
      <c r="B29" s="261" t="s">
        <v>993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579</v>
      </c>
      <c r="B30" s="268" t="s">
        <v>318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579</v>
      </c>
      <c r="B31" s="268" t="s">
        <v>331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579</v>
      </c>
      <c r="B32" s="268" t="s">
        <v>344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579</v>
      </c>
      <c r="B33" s="268" t="s">
        <v>356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579</v>
      </c>
      <c r="B34" s="268" t="s">
        <v>368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579</v>
      </c>
      <c r="B35" s="268" t="s">
        <v>380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579</v>
      </c>
      <c r="B36" s="268" t="s">
        <v>392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579</v>
      </c>
      <c r="B37" s="268" t="s">
        <v>405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579</v>
      </c>
      <c r="B38" s="268" t="s">
        <v>416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579</v>
      </c>
      <c r="B39" s="268" t="s">
        <v>427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579</v>
      </c>
      <c r="B40" s="268" t="s">
        <v>438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579</v>
      </c>
      <c r="B41" s="268" t="s">
        <v>449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579</v>
      </c>
      <c r="B42" s="268" t="s">
        <v>460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579</v>
      </c>
      <c r="B43" s="268" t="s">
        <v>471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579</v>
      </c>
      <c r="B44" s="268" t="s">
        <v>481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579</v>
      </c>
      <c r="B45" s="268" t="s">
        <v>491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579</v>
      </c>
      <c r="B46" s="268" t="s">
        <v>501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579</v>
      </c>
      <c r="B47" s="268" t="s">
        <v>511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579</v>
      </c>
      <c r="B48" s="269" t="s">
        <v>520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250</v>
      </c>
      <c r="B49" s="261" t="s">
        <v>994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250</v>
      </c>
      <c r="B50" s="254" t="s">
        <v>319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250</v>
      </c>
      <c r="B51" s="254" t="s">
        <v>332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250</v>
      </c>
      <c r="B52" s="254" t="s">
        <v>345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250</v>
      </c>
      <c r="B53" s="254" t="s">
        <v>357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250</v>
      </c>
      <c r="B54" s="254" t="s">
        <v>369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250</v>
      </c>
      <c r="B55" s="254" t="s">
        <v>381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250</v>
      </c>
      <c r="B56" s="254" t="s">
        <v>393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250</v>
      </c>
      <c r="B57" s="254" t="s">
        <v>406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250</v>
      </c>
      <c r="B58" s="254" t="s">
        <v>417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250</v>
      </c>
      <c r="B59" s="254" t="s">
        <v>428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250</v>
      </c>
      <c r="B60" s="254" t="s">
        <v>439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250</v>
      </c>
      <c r="B61" s="254" t="s">
        <v>450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250</v>
      </c>
      <c r="B62" s="254" t="s">
        <v>461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250</v>
      </c>
      <c r="B63" s="254" t="s">
        <v>472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250</v>
      </c>
      <c r="B64" s="254" t="s">
        <v>482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250</v>
      </c>
      <c r="B65" s="254" t="s">
        <v>492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250</v>
      </c>
      <c r="B66" s="254" t="s">
        <v>502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250</v>
      </c>
      <c r="B67" s="254" t="s">
        <v>512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250</v>
      </c>
      <c r="B68" s="254" t="s">
        <v>521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250</v>
      </c>
      <c r="B69" s="254" t="s">
        <v>530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250</v>
      </c>
      <c r="B70" s="254" t="s">
        <v>538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250</v>
      </c>
      <c r="B71" s="254" t="s">
        <v>545</v>
      </c>
      <c r="C71" s="389">
        <v>0.1</v>
      </c>
      <c r="D71" s="395"/>
      <c r="E71" s="395"/>
      <c r="F71" s="394"/>
    </row>
    <row r="72" spans="1:6" ht="14.25" thickBot="1">
      <c r="A72" s="260" t="s">
        <v>250</v>
      </c>
      <c r="B72" s="254" t="s">
        <v>995</v>
      </c>
      <c r="C72" s="395"/>
      <c r="D72" s="395"/>
      <c r="E72" s="395"/>
      <c r="F72" s="390">
        <v>0.05</v>
      </c>
    </row>
    <row r="73" spans="1:6" ht="14.25" thickBot="1">
      <c r="A73" s="260" t="s">
        <v>250</v>
      </c>
      <c r="B73" s="254" t="s">
        <v>996</v>
      </c>
      <c r="C73" s="395"/>
      <c r="D73" s="395"/>
      <c r="E73" s="395"/>
      <c r="F73" s="390">
        <v>0.05</v>
      </c>
    </row>
    <row r="74" spans="1:6" ht="14.25" thickBot="1">
      <c r="A74" s="260" t="s">
        <v>250</v>
      </c>
      <c r="B74" s="254" t="s">
        <v>997</v>
      </c>
      <c r="C74" s="395"/>
      <c r="D74" s="395"/>
      <c r="E74" s="395"/>
      <c r="F74" s="390">
        <v>0.05</v>
      </c>
    </row>
    <row r="75" spans="1:6" ht="14.25" thickBot="1">
      <c r="A75" s="277" t="s">
        <v>250</v>
      </c>
      <c r="B75" s="270" t="s">
        <v>998</v>
      </c>
      <c r="C75" s="392"/>
      <c r="D75" s="392"/>
      <c r="E75" s="392"/>
      <c r="F75" s="396">
        <v>0.05</v>
      </c>
    </row>
    <row r="76" spans="1:6" ht="14.25" thickBot="1">
      <c r="A76" s="260" t="s">
        <v>661</v>
      </c>
      <c r="B76" s="261" t="s">
        <v>999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661</v>
      </c>
      <c r="B77" s="254" t="s">
        <v>320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661</v>
      </c>
      <c r="B78" s="254" t="s">
        <v>333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661</v>
      </c>
      <c r="B79" s="254" t="s">
        <v>346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661</v>
      </c>
      <c r="B80" s="254" t="s">
        <v>358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661</v>
      </c>
      <c r="B81" s="254" t="s">
        <v>370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661</v>
      </c>
      <c r="B82" s="254" t="s">
        <v>382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661</v>
      </c>
      <c r="B83" s="254" t="s">
        <v>394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661</v>
      </c>
      <c r="B84" s="254" t="s">
        <v>407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661</v>
      </c>
      <c r="B85" s="254" t="s">
        <v>418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661</v>
      </c>
      <c r="B86" s="254" t="s">
        <v>429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661</v>
      </c>
      <c r="B87" s="254" t="s">
        <v>440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661</v>
      </c>
      <c r="B88" s="254" t="s">
        <v>451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661</v>
      </c>
      <c r="B89" s="254" t="s">
        <v>462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661</v>
      </c>
      <c r="B90" s="254" t="s">
        <v>473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661</v>
      </c>
      <c r="B91" s="254" t="s">
        <v>483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661</v>
      </c>
      <c r="B92" s="254" t="s">
        <v>493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661</v>
      </c>
      <c r="B93" s="254" t="s">
        <v>503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661</v>
      </c>
      <c r="B94" s="254" t="s">
        <v>513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661</v>
      </c>
      <c r="B95" s="254" t="s">
        <v>522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661</v>
      </c>
      <c r="B96" s="254" t="s">
        <v>531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661</v>
      </c>
      <c r="B97" s="254" t="s">
        <v>539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661</v>
      </c>
      <c r="B98" s="254" t="s">
        <v>546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661</v>
      </c>
      <c r="B99" s="254" t="s">
        <v>553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661</v>
      </c>
      <c r="B100" s="254" t="s">
        <v>560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661</v>
      </c>
      <c r="B101" s="254" t="s">
        <v>567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661</v>
      </c>
      <c r="B102" s="254" t="s">
        <v>1000</v>
      </c>
      <c r="C102" s="395"/>
      <c r="D102" s="395"/>
      <c r="E102" s="395"/>
      <c r="F102" s="390">
        <v>0.05</v>
      </c>
    </row>
    <row r="103" spans="1:6" ht="24.75" thickBot="1">
      <c r="A103" s="260" t="s">
        <v>661</v>
      </c>
      <c r="B103" s="254" t="s">
        <v>1001</v>
      </c>
      <c r="C103" s="395"/>
      <c r="D103" s="395"/>
      <c r="E103" s="395"/>
      <c r="F103" s="390">
        <v>0.05</v>
      </c>
    </row>
    <row r="104" spans="1:6" ht="14.25" thickBot="1">
      <c r="A104" s="260" t="s">
        <v>661</v>
      </c>
      <c r="B104" s="254" t="s">
        <v>1002</v>
      </c>
      <c r="C104" s="395"/>
      <c r="D104" s="395"/>
      <c r="E104" s="395"/>
      <c r="F104" s="390">
        <v>0.05</v>
      </c>
    </row>
    <row r="105" spans="1:6" ht="14.25" thickBot="1">
      <c r="A105" s="260" t="s">
        <v>661</v>
      </c>
      <c r="B105" s="254" t="s">
        <v>1003</v>
      </c>
      <c r="C105" s="395"/>
      <c r="D105" s="395"/>
      <c r="E105" s="395"/>
      <c r="F105" s="390">
        <v>0.05</v>
      </c>
    </row>
    <row r="106" spans="1:6" ht="14.25" thickBot="1">
      <c r="A106" s="260" t="s">
        <v>661</v>
      </c>
      <c r="B106" s="254" t="s">
        <v>1004</v>
      </c>
      <c r="C106" s="395"/>
      <c r="D106" s="395"/>
      <c r="E106" s="395"/>
      <c r="F106" s="390">
        <v>0.05</v>
      </c>
    </row>
    <row r="107" spans="1:6" ht="24.75" thickBot="1">
      <c r="A107" s="260" t="s">
        <v>661</v>
      </c>
      <c r="B107" s="254" t="s">
        <v>1005</v>
      </c>
      <c r="C107" s="395"/>
      <c r="D107" s="395"/>
      <c r="E107" s="395"/>
      <c r="F107" s="390">
        <v>0.05</v>
      </c>
    </row>
    <row r="108" spans="1:6" ht="24.75" thickBot="1">
      <c r="A108" s="260" t="s">
        <v>661</v>
      </c>
      <c r="B108" s="254" t="s">
        <v>1006</v>
      </c>
      <c r="C108" s="395"/>
      <c r="D108" s="395"/>
      <c r="E108" s="395"/>
      <c r="F108" s="390">
        <v>0.05</v>
      </c>
    </row>
    <row r="109" spans="1:6" ht="24.75" thickBot="1">
      <c r="A109" s="277" t="s">
        <v>661</v>
      </c>
      <c r="B109" s="270" t="s">
        <v>1007</v>
      </c>
      <c r="C109" s="392"/>
      <c r="D109" s="392"/>
      <c r="E109" s="392"/>
      <c r="F109" s="396">
        <v>0.05</v>
      </c>
    </row>
    <row r="110" spans="1:6" ht="14.25" thickBot="1">
      <c r="A110" s="260" t="s">
        <v>33</v>
      </c>
      <c r="B110" s="261" t="s">
        <v>1008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33</v>
      </c>
      <c r="B111" s="254" t="s">
        <v>321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33</v>
      </c>
      <c r="B112" s="254" t="s">
        <v>334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33</v>
      </c>
      <c r="B113" s="254" t="s">
        <v>347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33</v>
      </c>
      <c r="B114" s="254" t="s">
        <v>359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33</v>
      </c>
      <c r="B115" s="254" t="s">
        <v>371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33</v>
      </c>
      <c r="B116" s="254" t="s">
        <v>383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33</v>
      </c>
      <c r="B117" s="254" t="s">
        <v>395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33</v>
      </c>
      <c r="B118" s="254" t="s">
        <v>408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33</v>
      </c>
      <c r="B119" s="254" t="s">
        <v>419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33</v>
      </c>
      <c r="B120" s="254" t="s">
        <v>430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33</v>
      </c>
      <c r="B121" s="254" t="s">
        <v>441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33</v>
      </c>
      <c r="B122" s="254" t="s">
        <v>452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33</v>
      </c>
      <c r="B123" s="254" t="s">
        <v>463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33</v>
      </c>
      <c r="B124" s="254" t="s">
        <v>474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33</v>
      </c>
      <c r="B125" s="254" t="s">
        <v>484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33</v>
      </c>
      <c r="B126" s="254" t="s">
        <v>494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33</v>
      </c>
      <c r="B127" s="254" t="s">
        <v>504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33</v>
      </c>
      <c r="B128" s="254" t="s">
        <v>514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33</v>
      </c>
      <c r="B129" s="254" t="s">
        <v>523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33</v>
      </c>
      <c r="B130" s="254" t="s">
        <v>532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33</v>
      </c>
      <c r="B131" s="254" t="s">
        <v>540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33</v>
      </c>
      <c r="B132" s="254" t="s">
        <v>547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33</v>
      </c>
      <c r="B133" s="254" t="s">
        <v>554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33</v>
      </c>
      <c r="B134" s="254" t="s">
        <v>1009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33</v>
      </c>
      <c r="B135" s="254" t="s">
        <v>568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33</v>
      </c>
      <c r="B136" s="254" t="s">
        <v>575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33</v>
      </c>
      <c r="B137" s="254" t="s">
        <v>582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33</v>
      </c>
      <c r="B138" s="254" t="s">
        <v>1010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33</v>
      </c>
      <c r="B139" s="254" t="s">
        <v>1011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33</v>
      </c>
      <c r="B140" s="254" t="s">
        <v>1012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33</v>
      </c>
      <c r="B141" s="254" t="s">
        <v>602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33</v>
      </c>
      <c r="B142" s="254" t="s">
        <v>607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33</v>
      </c>
      <c r="B143" s="254" t="s">
        <v>612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33</v>
      </c>
      <c r="B144" s="397" t="s">
        <v>1013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33</v>
      </c>
      <c r="B145" s="399" t="s">
        <v>1014</v>
      </c>
      <c r="C145" s="400"/>
      <c r="D145" s="400"/>
      <c r="E145" s="400"/>
      <c r="F145" s="401">
        <v>0.05</v>
      </c>
    </row>
    <row r="146" spans="1:6" ht="24.75" thickBot="1">
      <c r="A146" s="402" t="s">
        <v>33</v>
      </c>
      <c r="B146" s="268" t="s">
        <v>1015</v>
      </c>
      <c r="C146" s="395"/>
      <c r="D146" s="395"/>
      <c r="E146" s="395"/>
      <c r="F146" s="403">
        <v>0.05</v>
      </c>
    </row>
    <row r="147" spans="1:6" ht="24.75" thickBot="1">
      <c r="A147" s="260" t="s">
        <v>33</v>
      </c>
      <c r="B147" s="254" t="s">
        <v>1016</v>
      </c>
      <c r="C147" s="395"/>
      <c r="D147" s="395"/>
      <c r="E147" s="395"/>
      <c r="F147" s="390">
        <v>0.05</v>
      </c>
    </row>
    <row r="148" spans="1:6" ht="24.75" thickBot="1">
      <c r="A148" s="260" t="s">
        <v>33</v>
      </c>
      <c r="B148" s="254" t="s">
        <v>1017</v>
      </c>
      <c r="C148" s="395"/>
      <c r="D148" s="395"/>
      <c r="E148" s="395"/>
      <c r="F148" s="390">
        <v>0.05</v>
      </c>
    </row>
    <row r="149" spans="1:6" ht="24.75" thickBot="1">
      <c r="A149" s="260" t="s">
        <v>33</v>
      </c>
      <c r="B149" s="254" t="s">
        <v>1018</v>
      </c>
      <c r="C149" s="395"/>
      <c r="D149" s="395"/>
      <c r="E149" s="395"/>
      <c r="F149" s="390">
        <v>0.05</v>
      </c>
    </row>
    <row r="150" spans="1:6" ht="24.75" thickBot="1">
      <c r="A150" s="260" t="s">
        <v>33</v>
      </c>
      <c r="B150" s="254" t="s">
        <v>1019</v>
      </c>
      <c r="C150" s="395"/>
      <c r="D150" s="395"/>
      <c r="E150" s="395"/>
      <c r="F150" s="390">
        <v>0.05</v>
      </c>
    </row>
    <row r="151" spans="1:6" ht="24.75" thickBot="1">
      <c r="A151" s="260" t="s">
        <v>33</v>
      </c>
      <c r="B151" s="254" t="s">
        <v>1020</v>
      </c>
      <c r="C151" s="395"/>
      <c r="D151" s="395"/>
      <c r="E151" s="395"/>
      <c r="F151" s="390">
        <v>0.05</v>
      </c>
    </row>
    <row r="152" spans="1:6" ht="24.75" thickBot="1">
      <c r="A152" s="260" t="s">
        <v>33</v>
      </c>
      <c r="B152" s="254" t="s">
        <v>645</v>
      </c>
      <c r="C152" s="395"/>
      <c r="D152" s="395"/>
      <c r="E152" s="395"/>
      <c r="F152" s="390">
        <v>0.05</v>
      </c>
    </row>
    <row r="153" spans="1:6" ht="14.25" thickBot="1">
      <c r="A153" s="260" t="s">
        <v>33</v>
      </c>
      <c r="B153" s="254" t="s">
        <v>1021</v>
      </c>
      <c r="C153" s="395"/>
      <c r="D153" s="395"/>
      <c r="E153" s="395"/>
      <c r="F153" s="390">
        <v>0.05</v>
      </c>
    </row>
    <row r="154" spans="1:6" ht="14.25" thickBot="1">
      <c r="A154" s="260" t="s">
        <v>33</v>
      </c>
      <c r="B154" s="254" t="s">
        <v>1022</v>
      </c>
      <c r="C154" s="395"/>
      <c r="D154" s="395"/>
      <c r="E154" s="395"/>
      <c r="F154" s="390">
        <v>0.05</v>
      </c>
    </row>
    <row r="155" spans="1:6" ht="24.75" thickBot="1">
      <c r="A155" s="260" t="s">
        <v>33</v>
      </c>
      <c r="B155" s="254" t="s">
        <v>1023</v>
      </c>
      <c r="C155" s="395"/>
      <c r="D155" s="395"/>
      <c r="E155" s="395"/>
      <c r="F155" s="390">
        <v>0.05</v>
      </c>
    </row>
    <row r="156" spans="1:6" ht="24.75" thickBot="1">
      <c r="A156" s="260" t="s">
        <v>33</v>
      </c>
      <c r="B156" s="254" t="s">
        <v>1024</v>
      </c>
      <c r="C156" s="395"/>
      <c r="D156" s="395"/>
      <c r="E156" s="395"/>
      <c r="F156" s="390">
        <v>0.05</v>
      </c>
    </row>
    <row r="157" spans="1:6" ht="14.25" thickBot="1">
      <c r="A157" s="277" t="s">
        <v>33</v>
      </c>
      <c r="B157" s="270" t="s">
        <v>1025</v>
      </c>
      <c r="C157" s="392"/>
      <c r="D157" s="392"/>
      <c r="E157" s="392"/>
      <c r="F157" s="396">
        <v>0.05</v>
      </c>
    </row>
    <row r="158" spans="1:6" ht="14.25" thickBot="1">
      <c r="A158" s="260" t="s">
        <v>664</v>
      </c>
      <c r="B158" s="261" t="s">
        <v>1026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664</v>
      </c>
      <c r="B159" s="254" t="s">
        <v>322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664</v>
      </c>
      <c r="B160" s="254" t="s">
        <v>335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664</v>
      </c>
      <c r="B161" s="254" t="s">
        <v>348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664</v>
      </c>
      <c r="B162" s="254" t="s">
        <v>360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664</v>
      </c>
      <c r="B163" s="254" t="s">
        <v>372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664</v>
      </c>
      <c r="B164" s="254" t="s">
        <v>384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664</v>
      </c>
      <c r="B165" s="254" t="s">
        <v>396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664</v>
      </c>
      <c r="B166" s="254" t="s">
        <v>409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664</v>
      </c>
      <c r="B167" s="254" t="s">
        <v>420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664</v>
      </c>
      <c r="B168" s="254" t="s">
        <v>431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664</v>
      </c>
      <c r="B169" s="254" t="s">
        <v>442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664</v>
      </c>
      <c r="B170" s="254" t="s">
        <v>453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664</v>
      </c>
      <c r="B171" s="254" t="s">
        <v>1027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664</v>
      </c>
      <c r="B172" s="254" t="s">
        <v>1028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664</v>
      </c>
      <c r="B173" s="254" t="s">
        <v>485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664</v>
      </c>
      <c r="B174" s="254" t="s">
        <v>1029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664</v>
      </c>
      <c r="B175" s="254" t="s">
        <v>1030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664</v>
      </c>
      <c r="B176" s="254" t="s">
        <v>515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664</v>
      </c>
      <c r="B177" s="254" t="s">
        <v>1031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664</v>
      </c>
      <c r="B178" s="254" t="s">
        <v>533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664</v>
      </c>
      <c r="B179" s="254" t="s">
        <v>541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664</v>
      </c>
      <c r="B180" s="254" t="s">
        <v>1032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664</v>
      </c>
      <c r="B181" s="254" t="s">
        <v>555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664</v>
      </c>
      <c r="B182" s="254" t="s">
        <v>562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664</v>
      </c>
      <c r="B183" s="254" t="s">
        <v>569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664</v>
      </c>
      <c r="B184" s="254" t="s">
        <v>576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664</v>
      </c>
      <c r="B185" s="254" t="s">
        <v>1033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664</v>
      </c>
      <c r="B186" s="254" t="s">
        <v>1034</v>
      </c>
      <c r="C186" s="395"/>
      <c r="D186" s="395"/>
      <c r="E186" s="395"/>
      <c r="F186" s="390">
        <v>0.05</v>
      </c>
    </row>
    <row r="187" spans="1:6" ht="14.25" thickBot="1">
      <c r="A187" s="260" t="s">
        <v>664</v>
      </c>
      <c r="B187" s="254" t="s">
        <v>1035</v>
      </c>
      <c r="C187" s="395"/>
      <c r="D187" s="395"/>
      <c r="E187" s="395"/>
      <c r="F187" s="390">
        <v>0.05</v>
      </c>
    </row>
    <row r="188" spans="1:6" ht="14.25" thickBot="1">
      <c r="A188" s="260" t="s">
        <v>664</v>
      </c>
      <c r="B188" s="254" t="s">
        <v>1036</v>
      </c>
      <c r="C188" s="395"/>
      <c r="D188" s="395"/>
      <c r="E188" s="395"/>
      <c r="F188" s="390">
        <v>0.05</v>
      </c>
    </row>
    <row r="189" spans="1:6" ht="24.75" thickBot="1">
      <c r="A189" s="260" t="s">
        <v>664</v>
      </c>
      <c r="B189" s="254" t="s">
        <v>1037</v>
      </c>
      <c r="C189" s="395"/>
      <c r="D189" s="395"/>
      <c r="E189" s="395"/>
      <c r="F189" s="390">
        <v>0.05</v>
      </c>
    </row>
    <row r="190" spans="1:6" ht="24.75" thickBot="1">
      <c r="A190" s="260" t="s">
        <v>664</v>
      </c>
      <c r="B190" s="254" t="s">
        <v>1038</v>
      </c>
      <c r="C190" s="395"/>
      <c r="D190" s="395"/>
      <c r="E190" s="395"/>
      <c r="F190" s="390">
        <v>0.05</v>
      </c>
    </row>
    <row r="191" spans="1:6" ht="24.75" thickBot="1">
      <c r="A191" s="260" t="s">
        <v>664</v>
      </c>
      <c r="B191" s="254" t="s">
        <v>1039</v>
      </c>
      <c r="C191" s="395"/>
      <c r="D191" s="395"/>
      <c r="E191" s="395"/>
      <c r="F191" s="390">
        <v>0.05</v>
      </c>
    </row>
    <row r="192" spans="1:6" ht="24.75" thickBot="1">
      <c r="A192" s="260" t="s">
        <v>664</v>
      </c>
      <c r="B192" s="254" t="s">
        <v>1040</v>
      </c>
      <c r="C192" s="395"/>
      <c r="D192" s="395"/>
      <c r="E192" s="395"/>
      <c r="F192" s="390">
        <v>0.05</v>
      </c>
    </row>
    <row r="193" spans="1:6" ht="24.75" thickBot="1">
      <c r="A193" s="260" t="s">
        <v>664</v>
      </c>
      <c r="B193" s="254" t="s">
        <v>1041</v>
      </c>
      <c r="C193" s="395"/>
      <c r="D193" s="395"/>
      <c r="E193" s="395"/>
      <c r="F193" s="390">
        <v>0.05</v>
      </c>
    </row>
    <row r="194" spans="1:6" ht="24.75" thickBot="1">
      <c r="A194" s="260" t="s">
        <v>664</v>
      </c>
      <c r="B194" s="254" t="s">
        <v>1042</v>
      </c>
      <c r="C194" s="395"/>
      <c r="D194" s="395"/>
      <c r="E194" s="395"/>
      <c r="F194" s="390">
        <v>0.05</v>
      </c>
    </row>
    <row r="195" spans="1:6" ht="14.25" thickBot="1">
      <c r="A195" s="260" t="s">
        <v>664</v>
      </c>
      <c r="B195" s="254" t="s">
        <v>1043</v>
      </c>
      <c r="C195" s="395"/>
      <c r="D195" s="395"/>
      <c r="E195" s="395"/>
      <c r="F195" s="390">
        <v>0.05</v>
      </c>
    </row>
    <row r="196" spans="1:6" ht="24.75" thickBot="1">
      <c r="A196" s="260" t="s">
        <v>664</v>
      </c>
      <c r="B196" s="254" t="s">
        <v>1044</v>
      </c>
      <c r="C196" s="395"/>
      <c r="D196" s="395"/>
      <c r="E196" s="395"/>
      <c r="F196" s="390">
        <v>0.05</v>
      </c>
    </row>
    <row r="197" spans="1:6" ht="24.75" thickBot="1">
      <c r="A197" s="260" t="s">
        <v>664</v>
      </c>
      <c r="B197" s="254" t="s">
        <v>1045</v>
      </c>
      <c r="C197" s="395"/>
      <c r="D197" s="395"/>
      <c r="E197" s="395"/>
      <c r="F197" s="390">
        <v>0.05</v>
      </c>
    </row>
    <row r="198" spans="1:6" ht="24.75" thickBot="1">
      <c r="A198" s="260" t="s">
        <v>664</v>
      </c>
      <c r="B198" s="254" t="s">
        <v>1046</v>
      </c>
      <c r="C198" s="395"/>
      <c r="D198" s="395"/>
      <c r="E198" s="395"/>
      <c r="F198" s="390">
        <v>0.05</v>
      </c>
    </row>
    <row r="199" spans="1:6" ht="24.75" thickBot="1">
      <c r="A199" s="260" t="s">
        <v>664</v>
      </c>
      <c r="B199" s="254" t="s">
        <v>1047</v>
      </c>
      <c r="C199" s="395"/>
      <c r="D199" s="395"/>
      <c r="E199" s="395"/>
      <c r="F199" s="390">
        <v>0.05</v>
      </c>
    </row>
    <row r="200" spans="1:6" ht="24.75" thickBot="1">
      <c r="A200" s="260" t="s">
        <v>664</v>
      </c>
      <c r="B200" s="254" t="s">
        <v>1048</v>
      </c>
      <c r="C200" s="395"/>
      <c r="D200" s="395"/>
      <c r="E200" s="395"/>
      <c r="F200" s="390">
        <v>0.05</v>
      </c>
    </row>
    <row r="201" spans="1:6" ht="24.75" thickBot="1">
      <c r="A201" s="260" t="s">
        <v>664</v>
      </c>
      <c r="B201" s="254" t="s">
        <v>1049</v>
      </c>
      <c r="C201" s="395"/>
      <c r="D201" s="395"/>
      <c r="E201" s="395"/>
      <c r="F201" s="390">
        <v>0.05</v>
      </c>
    </row>
    <row r="202" spans="1:6" ht="24.75" thickBot="1">
      <c r="A202" s="260" t="s">
        <v>664</v>
      </c>
      <c r="B202" s="254" t="s">
        <v>1050</v>
      </c>
      <c r="C202" s="395"/>
      <c r="D202" s="395"/>
      <c r="E202" s="395"/>
      <c r="F202" s="390">
        <v>0.05</v>
      </c>
    </row>
    <row r="203" spans="1:6" ht="24.75" thickBot="1">
      <c r="A203" s="260" t="s">
        <v>664</v>
      </c>
      <c r="B203" s="254" t="s">
        <v>1051</v>
      </c>
      <c r="C203" s="395"/>
      <c r="D203" s="395"/>
      <c r="E203" s="395"/>
      <c r="F203" s="390">
        <v>0.05</v>
      </c>
    </row>
    <row r="204" spans="1:6" ht="14.25" thickBot="1">
      <c r="A204" s="260" t="s">
        <v>664</v>
      </c>
      <c r="B204" s="254" t="s">
        <v>1052</v>
      </c>
      <c r="C204" s="395"/>
      <c r="D204" s="395"/>
      <c r="E204" s="395"/>
      <c r="F204" s="390">
        <v>0.05</v>
      </c>
    </row>
    <row r="205" spans="1:6" ht="14.25" thickBot="1">
      <c r="A205" s="277" t="s">
        <v>664</v>
      </c>
      <c r="B205" s="270" t="s">
        <v>1053</v>
      </c>
      <c r="C205" s="392"/>
      <c r="D205" s="392"/>
      <c r="E205" s="392"/>
      <c r="F205" s="396">
        <v>0.05</v>
      </c>
    </row>
    <row r="206" spans="1:6" ht="14.25" thickBot="1">
      <c r="A206" s="260" t="s">
        <v>666</v>
      </c>
      <c r="B206" s="261" t="s">
        <v>1054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666</v>
      </c>
      <c r="B207" s="254" t="s">
        <v>323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666</v>
      </c>
      <c r="B208" s="254" t="s">
        <v>336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666</v>
      </c>
      <c r="B209" s="254" t="s">
        <v>349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666</v>
      </c>
      <c r="B210" s="254" t="s">
        <v>1055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666</v>
      </c>
      <c r="B211" s="254" t="s">
        <v>1056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666</v>
      </c>
      <c r="B212" s="254" t="s">
        <v>1057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666</v>
      </c>
      <c r="B213" s="254" t="s">
        <v>397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666</v>
      </c>
      <c r="B214" s="254" t="s">
        <v>410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666</v>
      </c>
      <c r="B215" s="254" t="s">
        <v>1058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666</v>
      </c>
      <c r="B216" s="254" t="s">
        <v>432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666</v>
      </c>
      <c r="B217" s="254" t="s">
        <v>443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666</v>
      </c>
      <c r="B218" s="254" t="s">
        <v>1059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666</v>
      </c>
      <c r="B219" s="254" t="s">
        <v>465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666</v>
      </c>
      <c r="B220" s="254" t="s">
        <v>1060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666</v>
      </c>
      <c r="B221" s="254" t="s">
        <v>486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666</v>
      </c>
      <c r="B222" s="254" t="s">
        <v>496</v>
      </c>
      <c r="C222" s="389"/>
      <c r="D222" s="395"/>
      <c r="E222" s="395"/>
      <c r="F222" s="390">
        <v>0.1</v>
      </c>
    </row>
    <row r="223" spans="1:6" ht="14.25" thickBot="1">
      <c r="A223" s="260" t="s">
        <v>666</v>
      </c>
      <c r="B223" s="254" t="s">
        <v>506</v>
      </c>
      <c r="C223" s="389"/>
      <c r="D223" s="395"/>
      <c r="E223" s="395"/>
      <c r="F223" s="390">
        <v>0.15</v>
      </c>
    </row>
    <row r="224" spans="1:6" ht="14.25" thickBot="1">
      <c r="A224" s="260" t="s">
        <v>666</v>
      </c>
      <c r="B224" s="254" t="s">
        <v>516</v>
      </c>
      <c r="C224" s="389"/>
      <c r="D224" s="395"/>
      <c r="E224" s="395"/>
      <c r="F224" s="390">
        <v>0.15</v>
      </c>
    </row>
    <row r="225" spans="1:6" ht="14.25" thickBot="1">
      <c r="A225" s="260" t="s">
        <v>666</v>
      </c>
      <c r="B225" s="254" t="s">
        <v>1061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666</v>
      </c>
      <c r="B226" s="254" t="s">
        <v>534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666</v>
      </c>
      <c r="B227" s="254" t="s">
        <v>1062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666</v>
      </c>
      <c r="B228" s="254" t="s">
        <v>549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666</v>
      </c>
      <c r="B229" s="254" t="s">
        <v>556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666</v>
      </c>
      <c r="B230" s="254" t="s">
        <v>563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666</v>
      </c>
      <c r="B231" s="254" t="s">
        <v>1063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666</v>
      </c>
      <c r="B232" s="254" t="s">
        <v>1064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666</v>
      </c>
      <c r="B233" s="254" t="s">
        <v>1065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666</v>
      </c>
      <c r="B234" s="254" t="s">
        <v>1066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666</v>
      </c>
      <c r="B235" s="254" t="s">
        <v>1067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666</v>
      </c>
      <c r="B236" s="254" t="s">
        <v>599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666</v>
      </c>
      <c r="B237" s="254" t="s">
        <v>1068</v>
      </c>
      <c r="C237" s="395"/>
      <c r="D237" s="395"/>
      <c r="E237" s="395"/>
      <c r="F237" s="390">
        <v>0.05</v>
      </c>
    </row>
    <row r="238" spans="1:6" ht="24.75" thickBot="1">
      <c r="A238" s="260" t="s">
        <v>666</v>
      </c>
      <c r="B238" s="254" t="s">
        <v>1069</v>
      </c>
      <c r="C238" s="395"/>
      <c r="D238" s="395"/>
      <c r="E238" s="395"/>
      <c r="F238" s="390">
        <v>0.05</v>
      </c>
    </row>
    <row r="239" spans="1:6" ht="24.75" thickBot="1">
      <c r="A239" s="260" t="s">
        <v>666</v>
      </c>
      <c r="B239" s="254" t="s">
        <v>1070</v>
      </c>
      <c r="C239" s="395"/>
      <c r="D239" s="395"/>
      <c r="E239" s="395"/>
      <c r="F239" s="390">
        <v>0.05</v>
      </c>
    </row>
    <row r="240" spans="1:6" ht="24.75" thickBot="1">
      <c r="A240" s="260" t="s">
        <v>666</v>
      </c>
      <c r="B240" s="254" t="s">
        <v>1071</v>
      </c>
      <c r="C240" s="395"/>
      <c r="D240" s="395"/>
      <c r="E240" s="395"/>
      <c r="F240" s="390">
        <v>0.05</v>
      </c>
    </row>
    <row r="241" spans="1:6" ht="24.75" thickBot="1">
      <c r="A241" s="260" t="s">
        <v>666</v>
      </c>
      <c r="B241" s="254" t="s">
        <v>1072</v>
      </c>
      <c r="C241" s="395"/>
      <c r="D241" s="395"/>
      <c r="E241" s="395"/>
      <c r="F241" s="390">
        <v>0.05</v>
      </c>
    </row>
    <row r="242" spans="1:6" ht="24.75" thickBot="1">
      <c r="A242" s="260" t="s">
        <v>666</v>
      </c>
      <c r="B242" s="254" t="s">
        <v>1073</v>
      </c>
      <c r="C242" s="395"/>
      <c r="D242" s="395"/>
      <c r="E242" s="395"/>
      <c r="F242" s="390">
        <v>0.05</v>
      </c>
    </row>
    <row r="243" spans="1:6" ht="24.75" thickBot="1">
      <c r="A243" s="260" t="s">
        <v>666</v>
      </c>
      <c r="B243" s="254" t="s">
        <v>1074</v>
      </c>
      <c r="C243" s="395"/>
      <c r="D243" s="395"/>
      <c r="E243" s="395"/>
      <c r="F243" s="390">
        <v>0.05</v>
      </c>
    </row>
    <row r="244" spans="1:6" ht="24.75" thickBot="1">
      <c r="A244" s="277" t="s">
        <v>666</v>
      </c>
      <c r="B244" s="270" t="s">
        <v>1075</v>
      </c>
      <c r="C244" s="392"/>
      <c r="D244" s="392"/>
      <c r="E244" s="392"/>
      <c r="F244" s="396">
        <v>0.05</v>
      </c>
    </row>
    <row r="245" spans="1:6" ht="14.25" thickBot="1">
      <c r="A245" s="260" t="s">
        <v>668</v>
      </c>
      <c r="B245" s="261" t="s">
        <v>1076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668</v>
      </c>
      <c r="B246" s="254" t="s">
        <v>324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668</v>
      </c>
      <c r="B247" s="254" t="s">
        <v>1077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668</v>
      </c>
      <c r="B248" s="254" t="s">
        <v>1078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668</v>
      </c>
      <c r="B249" s="254" t="s">
        <v>1079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668</v>
      </c>
      <c r="B250" s="254" t="s">
        <v>1080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668</v>
      </c>
      <c r="B251" s="254" t="s">
        <v>386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668</v>
      </c>
      <c r="B252" s="254" t="s">
        <v>398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668</v>
      </c>
      <c r="B253" s="254" t="s">
        <v>411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668</v>
      </c>
      <c r="B254" s="254" t="s">
        <v>422</v>
      </c>
      <c r="C254" s="395"/>
      <c r="D254" s="395"/>
      <c r="E254" s="395"/>
      <c r="F254" s="390">
        <v>0.15</v>
      </c>
    </row>
    <row r="255" spans="1:6" ht="14.25" thickBot="1">
      <c r="A255" s="260" t="s">
        <v>668</v>
      </c>
      <c r="B255" s="254" t="s">
        <v>433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668</v>
      </c>
      <c r="B256" s="254" t="s">
        <v>1081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668</v>
      </c>
      <c r="B257" s="254" t="s">
        <v>455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668</v>
      </c>
      <c r="B258" s="254" t="s">
        <v>466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668</v>
      </c>
      <c r="B259" s="254" t="s">
        <v>1082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668</v>
      </c>
      <c r="B260" s="254" t="s">
        <v>487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668</v>
      </c>
      <c r="B261" s="254" t="s">
        <v>497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668</v>
      </c>
      <c r="B262" s="254" t="s">
        <v>507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668</v>
      </c>
      <c r="B263" s="254" t="s">
        <v>1083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668</v>
      </c>
      <c r="B264" s="254" t="s">
        <v>526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668</v>
      </c>
      <c r="B265" s="254" t="s">
        <v>535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668</v>
      </c>
      <c r="B266" s="254" t="s">
        <v>543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668</v>
      </c>
      <c r="B267" s="254" t="s">
        <v>550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668</v>
      </c>
      <c r="B268" s="254" t="s">
        <v>1084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668</v>
      </c>
      <c r="B269" s="254" t="s">
        <v>564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668</v>
      </c>
      <c r="B270" s="254" t="s">
        <v>571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668</v>
      </c>
      <c r="B271" s="254" t="s">
        <v>578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668</v>
      </c>
      <c r="B272" s="254" t="s">
        <v>585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668</v>
      </c>
      <c r="B273" s="254" t="s">
        <v>1085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668</v>
      </c>
      <c r="B274" s="254" t="s">
        <v>1086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668</v>
      </c>
      <c r="B275" s="254" t="s">
        <v>1087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668</v>
      </c>
      <c r="B276" s="254" t="s">
        <v>1088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668</v>
      </c>
      <c r="B277" s="254" t="s">
        <v>1089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668</v>
      </c>
      <c r="B278" s="254" t="s">
        <v>1090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668</v>
      </c>
      <c r="B279" s="254" t="s">
        <v>1091</v>
      </c>
      <c r="C279" s="395"/>
      <c r="D279" s="395"/>
      <c r="E279" s="395"/>
      <c r="F279" s="390">
        <v>0.05</v>
      </c>
    </row>
    <row r="280" spans="1:6" ht="24.75" thickBot="1">
      <c r="A280" s="260" t="s">
        <v>668</v>
      </c>
      <c r="B280" s="254" t="s">
        <v>1092</v>
      </c>
      <c r="C280" s="395"/>
      <c r="D280" s="395"/>
      <c r="E280" s="395"/>
      <c r="F280" s="390">
        <v>0.05</v>
      </c>
    </row>
    <row r="281" spans="1:6" ht="24.75" thickBot="1">
      <c r="A281" s="260" t="s">
        <v>668</v>
      </c>
      <c r="B281" s="254" t="s">
        <v>1093</v>
      </c>
      <c r="C281" s="395"/>
      <c r="D281" s="395"/>
      <c r="E281" s="395"/>
      <c r="F281" s="390">
        <v>0.05</v>
      </c>
    </row>
    <row r="282" spans="1:6" ht="24.75" thickBot="1">
      <c r="A282" s="260" t="s">
        <v>668</v>
      </c>
      <c r="B282" s="254" t="s">
        <v>1094</v>
      </c>
      <c r="C282" s="395"/>
      <c r="D282" s="395"/>
      <c r="E282" s="395"/>
      <c r="F282" s="390">
        <v>0.05</v>
      </c>
    </row>
    <row r="283" spans="1:6" ht="24.75" thickBot="1">
      <c r="A283" s="260" t="s">
        <v>668</v>
      </c>
      <c r="B283" s="254" t="s">
        <v>1095</v>
      </c>
      <c r="C283" s="395"/>
      <c r="D283" s="395"/>
      <c r="E283" s="395"/>
      <c r="F283" s="390">
        <v>0.05</v>
      </c>
    </row>
    <row r="284" spans="1:6" ht="24.75" thickBot="1">
      <c r="A284" s="260" t="s">
        <v>668</v>
      </c>
      <c r="B284" s="254" t="s">
        <v>1096</v>
      </c>
      <c r="C284" s="395"/>
      <c r="D284" s="395"/>
      <c r="E284" s="395"/>
      <c r="F284" s="390">
        <v>0.05</v>
      </c>
    </row>
    <row r="285" spans="1:6" ht="24.75" thickBot="1">
      <c r="A285" s="260" t="s">
        <v>668</v>
      </c>
      <c r="B285" s="254" t="s">
        <v>1097</v>
      </c>
      <c r="C285" s="395"/>
      <c r="D285" s="395"/>
      <c r="E285" s="395"/>
      <c r="F285" s="390">
        <v>0.05</v>
      </c>
    </row>
    <row r="286" spans="1:6" ht="24.75" thickBot="1">
      <c r="A286" s="260" t="s">
        <v>668</v>
      </c>
      <c r="B286" s="254" t="s">
        <v>1098</v>
      </c>
      <c r="C286" s="395"/>
      <c r="D286" s="395"/>
      <c r="E286" s="395"/>
      <c r="F286" s="390">
        <v>0.05</v>
      </c>
    </row>
    <row r="287" spans="1:6" ht="24.75" thickBot="1">
      <c r="A287" s="260" t="s">
        <v>668</v>
      </c>
      <c r="B287" s="254" t="s">
        <v>1099</v>
      </c>
      <c r="C287" s="395"/>
      <c r="D287" s="395"/>
      <c r="E287" s="395"/>
      <c r="F287" s="390">
        <v>0.05</v>
      </c>
    </row>
    <row r="288" spans="1:6" ht="24.75" thickBot="1">
      <c r="A288" s="260" t="s">
        <v>668</v>
      </c>
      <c r="B288" s="254" t="s">
        <v>1100</v>
      </c>
      <c r="C288" s="395"/>
      <c r="D288" s="395"/>
      <c r="E288" s="395"/>
      <c r="F288" s="390">
        <v>0.05</v>
      </c>
    </row>
    <row r="289" spans="1:6" ht="24.75" thickBot="1">
      <c r="A289" s="277" t="s">
        <v>668</v>
      </c>
      <c r="B289" s="270" t="s">
        <v>1101</v>
      </c>
      <c r="C289" s="392"/>
      <c r="D289" s="392"/>
      <c r="E289" s="392"/>
      <c r="F289" s="396">
        <v>0.05</v>
      </c>
    </row>
    <row r="290" spans="1:6" ht="14.25" thickBot="1">
      <c r="A290" s="260" t="s">
        <v>672</v>
      </c>
      <c r="B290" s="261" t="s">
        <v>1102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672</v>
      </c>
      <c r="B291" s="254" t="s">
        <v>325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672</v>
      </c>
      <c r="B292" s="254" t="s">
        <v>1103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672</v>
      </c>
      <c r="B293" s="254" t="s">
        <v>1104</v>
      </c>
      <c r="C293" s="395"/>
      <c r="D293" s="395"/>
      <c r="E293" s="395"/>
      <c r="F293" s="390">
        <v>0.1</v>
      </c>
    </row>
    <row r="294" spans="1:6" ht="14.25" thickBot="1">
      <c r="A294" s="260" t="s">
        <v>672</v>
      </c>
      <c r="B294" s="254" t="s">
        <v>1105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672</v>
      </c>
      <c r="B295" s="254" t="s">
        <v>363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672</v>
      </c>
      <c r="B296" s="254" t="s">
        <v>1106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672</v>
      </c>
      <c r="B297" s="254" t="s">
        <v>1107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672</v>
      </c>
      <c r="B298" s="254" t="s">
        <v>399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672</v>
      </c>
      <c r="B299" s="254" t="s">
        <v>412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672</v>
      </c>
      <c r="B300" s="254" t="s">
        <v>1108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672</v>
      </c>
      <c r="B301" s="254" t="s">
        <v>434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672</v>
      </c>
      <c r="B302" s="254" t="s">
        <v>1109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672</v>
      </c>
      <c r="B303" s="254" t="s">
        <v>456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672</v>
      </c>
      <c r="B304" s="254" t="s">
        <v>467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672</v>
      </c>
      <c r="B305" s="254" t="s">
        <v>1110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672</v>
      </c>
      <c r="B306" s="254" t="s">
        <v>488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672</v>
      </c>
      <c r="B307" s="254" t="s">
        <v>1111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672</v>
      </c>
      <c r="B308" s="254" t="s">
        <v>508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672</v>
      </c>
      <c r="B309" s="254" t="s">
        <v>518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672</v>
      </c>
      <c r="B310" s="254" t="s">
        <v>1112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672</v>
      </c>
      <c r="B311" s="254" t="s">
        <v>1113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672</v>
      </c>
      <c r="B312" s="254" t="s">
        <v>544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672</v>
      </c>
      <c r="B313" s="254" t="s">
        <v>1114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672</v>
      </c>
      <c r="B314" s="254" t="s">
        <v>1115</v>
      </c>
      <c r="C314" s="395"/>
      <c r="D314" s="395"/>
      <c r="E314" s="395"/>
      <c r="F314" s="390">
        <v>0.05</v>
      </c>
    </row>
    <row r="315" spans="1:6" ht="24.75" thickBot="1">
      <c r="A315" s="260" t="s">
        <v>672</v>
      </c>
      <c r="B315" s="254" t="s">
        <v>1116</v>
      </c>
      <c r="C315" s="395"/>
      <c r="D315" s="395"/>
      <c r="E315" s="395"/>
      <c r="F315" s="390">
        <v>0.05</v>
      </c>
    </row>
    <row r="316" spans="1:6" ht="24.75" thickBot="1">
      <c r="A316" s="277" t="s">
        <v>672</v>
      </c>
      <c r="B316" s="270" t="s">
        <v>1117</v>
      </c>
      <c r="C316" s="392"/>
      <c r="D316" s="392"/>
      <c r="E316" s="392"/>
      <c r="F316" s="396">
        <v>0.05</v>
      </c>
    </row>
    <row r="317" spans="1:6" ht="14.25" thickBot="1">
      <c r="A317" s="260" t="s">
        <v>1118</v>
      </c>
      <c r="B317" s="261" t="s">
        <v>1119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1118</v>
      </c>
      <c r="B318" s="254" t="s">
        <v>1120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1118</v>
      </c>
      <c r="B319" s="254" t="s">
        <v>1121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1118</v>
      </c>
      <c r="B320" s="254" t="s">
        <v>352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1118</v>
      </c>
      <c r="B321" s="254" t="s">
        <v>1122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1118</v>
      </c>
      <c r="B322" s="254" t="s">
        <v>1123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1118</v>
      </c>
      <c r="B323" s="254" t="s">
        <v>1124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1118</v>
      </c>
      <c r="B324" s="254" t="s">
        <v>1125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1118</v>
      </c>
      <c r="B325" s="254" t="s">
        <v>1126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1118</v>
      </c>
      <c r="B326" s="254" t="s">
        <v>424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1118</v>
      </c>
      <c r="B327" s="254" t="s">
        <v>1127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1118</v>
      </c>
      <c r="B328" s="254" t="s">
        <v>446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1118</v>
      </c>
      <c r="B329" s="254" t="s">
        <v>457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1118</v>
      </c>
      <c r="B330" s="254" t="s">
        <v>468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1118</v>
      </c>
      <c r="B331" s="254" t="s">
        <v>1128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1118</v>
      </c>
      <c r="B332" s="254" t="s">
        <v>489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1118</v>
      </c>
      <c r="B333" s="254" t="s">
        <v>1129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1118</v>
      </c>
      <c r="B334" s="254" t="s">
        <v>509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1118</v>
      </c>
      <c r="B335" s="254" t="s">
        <v>519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1118</v>
      </c>
      <c r="B336" s="254" t="s">
        <v>1130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1118</v>
      </c>
      <c r="B337" s="270" t="s">
        <v>537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1131</v>
      </c>
      <c r="B338" s="261" t="s">
        <v>1132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1131</v>
      </c>
      <c r="B339" s="254" t="s">
        <v>1133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1131</v>
      </c>
      <c r="B340" s="254" t="s">
        <v>1134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1131</v>
      </c>
      <c r="B341" s="254" t="s">
        <v>1135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1131</v>
      </c>
      <c r="B342" s="254" t="s">
        <v>1136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1131</v>
      </c>
      <c r="B343" s="254" t="s">
        <v>1137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1131</v>
      </c>
      <c r="B344" s="270" t="s">
        <v>1138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4" t="s">
        <v>287</v>
      </c>
      <c r="B1" s="1714"/>
      <c r="C1" s="1714"/>
      <c r="D1" s="1714"/>
      <c r="E1" s="1714"/>
      <c r="F1" s="1714"/>
      <c r="H1" s="249"/>
      <c r="I1" s="250" t="s">
        <v>288</v>
      </c>
      <c r="J1" s="251" t="s">
        <v>289</v>
      </c>
      <c r="K1" s="251" t="s">
        <v>290</v>
      </c>
      <c r="L1" s="251" t="s">
        <v>291</v>
      </c>
      <c r="M1" s="251" t="s">
        <v>292</v>
      </c>
      <c r="N1" s="251" t="s">
        <v>293</v>
      </c>
      <c r="O1" s="251" t="s">
        <v>294</v>
      </c>
      <c r="P1" s="251" t="s">
        <v>295</v>
      </c>
      <c r="Q1" s="251" t="s">
        <v>296</v>
      </c>
      <c r="R1" s="251" t="s">
        <v>297</v>
      </c>
      <c r="S1" s="251" t="s">
        <v>298</v>
      </c>
      <c r="T1" s="252" t="s">
        <v>299</v>
      </c>
    </row>
    <row r="2" spans="1:20" ht="14.25" thickBot="1">
      <c r="A2" s="1715" t="s">
        <v>300</v>
      </c>
      <c r="B2" s="1715"/>
      <c r="C2" s="1715"/>
      <c r="D2" s="1715"/>
      <c r="E2" s="1715"/>
      <c r="F2" s="1715"/>
      <c r="I2" s="253" t="s">
        <v>301</v>
      </c>
      <c r="J2" s="254" t="s">
        <v>302</v>
      </c>
      <c r="K2" s="254" t="s">
        <v>303</v>
      </c>
      <c r="L2" s="254" t="s">
        <v>304</v>
      </c>
      <c r="M2" s="254" t="s">
        <v>305</v>
      </c>
      <c r="N2" s="254" t="s">
        <v>306</v>
      </c>
      <c r="O2" s="254" t="s">
        <v>307</v>
      </c>
      <c r="P2" s="254" t="s">
        <v>308</v>
      </c>
      <c r="Q2" s="254" t="s">
        <v>309</v>
      </c>
      <c r="R2" s="254" t="s">
        <v>310</v>
      </c>
      <c r="S2" s="254" t="s">
        <v>311</v>
      </c>
      <c r="T2" s="254" t="s">
        <v>312</v>
      </c>
    </row>
    <row r="3" spans="1:20" s="249" customFormat="1" ht="19.5" customHeight="1">
      <c r="A3" s="1716" t="s">
        <v>313</v>
      </c>
      <c r="B3" s="255"/>
      <c r="C3" s="256" t="s">
        <v>314</v>
      </c>
      <c r="D3" s="256" t="s">
        <v>1300</v>
      </c>
      <c r="E3" s="256" t="s">
        <v>1301</v>
      </c>
      <c r="F3" s="256" t="s">
        <v>315</v>
      </c>
      <c r="G3" s="257"/>
      <c r="I3" s="253" t="s">
        <v>316</v>
      </c>
      <c r="J3" s="254" t="s">
        <v>317</v>
      </c>
      <c r="K3" s="254" t="s">
        <v>318</v>
      </c>
      <c r="L3" s="254" t="s">
        <v>319</v>
      </c>
      <c r="M3" s="254" t="s">
        <v>320</v>
      </c>
      <c r="N3" s="254" t="s">
        <v>321</v>
      </c>
      <c r="O3" s="254" t="s">
        <v>322</v>
      </c>
      <c r="P3" s="254" t="s">
        <v>323</v>
      </c>
      <c r="Q3" s="254" t="s">
        <v>324</v>
      </c>
      <c r="R3" s="254" t="s">
        <v>325</v>
      </c>
      <c r="S3" s="254" t="s">
        <v>326</v>
      </c>
      <c r="T3" s="254" t="s">
        <v>327</v>
      </c>
    </row>
    <row r="4" spans="1:20" s="249" customFormat="1" ht="19.5" customHeight="1" thickBot="1">
      <c r="A4" s="1717"/>
      <c r="B4" s="258" t="s">
        <v>328</v>
      </c>
      <c r="C4" s="258" t="s">
        <v>329</v>
      </c>
      <c r="D4" s="258" t="s">
        <v>329</v>
      </c>
      <c r="E4" s="258" t="s">
        <v>329</v>
      </c>
      <c r="F4" s="259" t="s">
        <v>329</v>
      </c>
      <c r="G4" s="257"/>
      <c r="I4" s="253" t="s">
        <v>330</v>
      </c>
      <c r="J4" s="254" t="s">
        <v>251</v>
      </c>
      <c r="K4" s="254" t="s">
        <v>331</v>
      </c>
      <c r="L4" s="254" t="s">
        <v>332</v>
      </c>
      <c r="M4" s="254" t="s">
        <v>333</v>
      </c>
      <c r="N4" s="254" t="s">
        <v>334</v>
      </c>
      <c r="O4" s="254" t="s">
        <v>335</v>
      </c>
      <c r="P4" s="254" t="s">
        <v>336</v>
      </c>
      <c r="Q4" s="254" t="s">
        <v>337</v>
      </c>
      <c r="R4" s="254" t="s">
        <v>338</v>
      </c>
      <c r="S4" s="254" t="s">
        <v>339</v>
      </c>
      <c r="T4" s="254" t="s">
        <v>340</v>
      </c>
    </row>
    <row r="5" spans="1:20" ht="14.25" customHeight="1" thickBot="1">
      <c r="A5" s="260" t="s">
        <v>341</v>
      </c>
      <c r="B5" s="261" t="s">
        <v>301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288</v>
      </c>
      <c r="H5" s="264">
        <f>SUMPRODUCT((B5:B9='2014基准地价'!I2)*(C3:F3='2014基准地价'!E2)*(C5:F9))</f>
        <v>0</v>
      </c>
      <c r="I5" s="253" t="s">
        <v>342</v>
      </c>
      <c r="J5" s="254" t="s">
        <v>343</v>
      </c>
      <c r="K5" s="254" t="s">
        <v>344</v>
      </c>
      <c r="L5" s="254" t="s">
        <v>345</v>
      </c>
      <c r="M5" s="254" t="s">
        <v>346</v>
      </c>
      <c r="N5" s="254" t="s">
        <v>347</v>
      </c>
      <c r="O5" s="254" t="s">
        <v>348</v>
      </c>
      <c r="P5" s="254" t="s">
        <v>349</v>
      </c>
      <c r="Q5" s="254" t="s">
        <v>350</v>
      </c>
      <c r="R5" s="254" t="s">
        <v>351</v>
      </c>
      <c r="S5" s="254" t="s">
        <v>352</v>
      </c>
      <c r="T5" s="254" t="s">
        <v>353</v>
      </c>
    </row>
    <row r="6" spans="1:20" ht="14.25" customHeight="1" thickBot="1">
      <c r="A6" s="260" t="s">
        <v>341</v>
      </c>
      <c r="B6" s="254" t="s">
        <v>316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289</v>
      </c>
      <c r="H6" s="267">
        <f>SUMPRODUCT((B10:B28='2014基准地价'!I2)*(C3:F3='2014基准地价'!E2)*(C10:F28))</f>
        <v>0</v>
      </c>
      <c r="I6" s="253" t="s">
        <v>354</v>
      </c>
      <c r="J6" s="254" t="s">
        <v>355</v>
      </c>
      <c r="K6" s="254" t="s">
        <v>356</v>
      </c>
      <c r="L6" s="254" t="s">
        <v>357</v>
      </c>
      <c r="M6" s="254" t="s">
        <v>358</v>
      </c>
      <c r="N6" s="254" t="s">
        <v>359</v>
      </c>
      <c r="O6" s="254" t="s">
        <v>360</v>
      </c>
      <c r="P6" s="254" t="s">
        <v>361</v>
      </c>
      <c r="Q6" s="254" t="s">
        <v>362</v>
      </c>
      <c r="R6" s="254" t="s">
        <v>363</v>
      </c>
      <c r="S6" s="254" t="s">
        <v>364</v>
      </c>
      <c r="T6" s="254" t="s">
        <v>365</v>
      </c>
    </row>
    <row r="7" spans="1:20" ht="14.25" customHeight="1" thickBot="1">
      <c r="A7" s="260" t="s">
        <v>341</v>
      </c>
      <c r="B7" s="268" t="s">
        <v>330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366</v>
      </c>
      <c r="H7" s="267">
        <f>SUMPRODUCT((B29:B48='2014基准地价'!I2)*(C3:F3='2014基准地价'!E2)*(C29:F48))</f>
        <v>0</v>
      </c>
      <c r="J7" s="254" t="s">
        <v>367</v>
      </c>
      <c r="K7" s="254" t="s">
        <v>368</v>
      </c>
      <c r="L7" s="254" t="s">
        <v>369</v>
      </c>
      <c r="M7" s="254" t="s">
        <v>370</v>
      </c>
      <c r="N7" s="254" t="s">
        <v>371</v>
      </c>
      <c r="O7" s="254" t="s">
        <v>372</v>
      </c>
      <c r="P7" s="254" t="s">
        <v>373</v>
      </c>
      <c r="Q7" s="254" t="s">
        <v>374</v>
      </c>
      <c r="R7" s="254" t="s">
        <v>375</v>
      </c>
      <c r="S7" s="254" t="s">
        <v>376</v>
      </c>
      <c r="T7" s="268" t="s">
        <v>377</v>
      </c>
    </row>
    <row r="8" spans="1:20" ht="14.25" customHeight="1" thickBot="1">
      <c r="A8" s="260" t="s">
        <v>341</v>
      </c>
      <c r="B8" s="254" t="s">
        <v>342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378</v>
      </c>
      <c r="H8" s="267">
        <f>SUMPRODUCT((B49:B75='2014基准地价'!I2)*(C3:F3='2014基准地价'!E2)*(C49:F75))</f>
        <v>0</v>
      </c>
      <c r="J8" s="254" t="s">
        <v>379</v>
      </c>
      <c r="K8" s="254" t="s">
        <v>380</v>
      </c>
      <c r="L8" s="254" t="s">
        <v>381</v>
      </c>
      <c r="M8" s="254" t="s">
        <v>382</v>
      </c>
      <c r="N8" s="254" t="s">
        <v>383</v>
      </c>
      <c r="O8" s="254" t="s">
        <v>384</v>
      </c>
      <c r="P8" s="254" t="s">
        <v>385</v>
      </c>
      <c r="Q8" s="254" t="s">
        <v>386</v>
      </c>
      <c r="R8" s="254" t="s">
        <v>387</v>
      </c>
      <c r="S8" s="254" t="s">
        <v>388</v>
      </c>
      <c r="T8" s="254" t="s">
        <v>389</v>
      </c>
    </row>
    <row r="9" spans="1:20" ht="14.25" customHeight="1" thickBot="1">
      <c r="A9" s="260" t="s">
        <v>341</v>
      </c>
      <c r="B9" s="269" t="s">
        <v>354</v>
      </c>
      <c r="C9" s="270">
        <v>28140</v>
      </c>
      <c r="D9" s="270"/>
      <c r="E9" s="270"/>
      <c r="F9" s="271"/>
      <c r="G9" s="266" t="s">
        <v>390</v>
      </c>
      <c r="H9" s="267">
        <f>SUMPRODUCT((B76:B109='2014基准地价'!I2)*(C3:F3='2014基准地价'!E2)*(C76:F109))</f>
        <v>0</v>
      </c>
      <c r="J9" s="254" t="s">
        <v>391</v>
      </c>
      <c r="K9" s="254" t="s">
        <v>392</v>
      </c>
      <c r="L9" s="254" t="s">
        <v>393</v>
      </c>
      <c r="M9" s="254" t="s">
        <v>394</v>
      </c>
      <c r="N9" s="254" t="s">
        <v>395</v>
      </c>
      <c r="O9" s="254" t="s">
        <v>396</v>
      </c>
      <c r="P9" s="254" t="s">
        <v>397</v>
      </c>
      <c r="Q9" s="254" t="s">
        <v>398</v>
      </c>
      <c r="R9" s="254" t="s">
        <v>399</v>
      </c>
      <c r="S9" s="254" t="s">
        <v>400</v>
      </c>
    </row>
    <row r="10" spans="1:20" ht="14.25" customHeight="1" thickBot="1">
      <c r="A10" s="260" t="s">
        <v>401</v>
      </c>
      <c r="B10" s="261" t="s">
        <v>402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403</v>
      </c>
      <c r="H10" s="267">
        <f>SUMPRODUCT((B110:B157='2014基准地价'!I2)*(C3:F3='2014基准地价'!E2)*(C110:F157))</f>
        <v>0</v>
      </c>
      <c r="J10" s="254" t="s">
        <v>404</v>
      </c>
      <c r="K10" s="254" t="s">
        <v>405</v>
      </c>
      <c r="L10" s="254" t="s">
        <v>406</v>
      </c>
      <c r="M10" s="254" t="s">
        <v>407</v>
      </c>
      <c r="N10" s="254" t="s">
        <v>408</v>
      </c>
      <c r="O10" s="254" t="s">
        <v>409</v>
      </c>
      <c r="P10" s="254" t="s">
        <v>410</v>
      </c>
      <c r="Q10" s="254" t="s">
        <v>411</v>
      </c>
      <c r="R10" s="254" t="s">
        <v>412</v>
      </c>
      <c r="S10" s="254" t="s">
        <v>413</v>
      </c>
    </row>
    <row r="11" spans="1:20" ht="14.25" customHeight="1" thickBot="1">
      <c r="A11" s="260" t="s">
        <v>401</v>
      </c>
      <c r="B11" s="268" t="s">
        <v>317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414</v>
      </c>
      <c r="H11" s="267">
        <f>SUMPRODUCT((B158:B205='2014基准地价'!I2)*(C3:F3='2014基准地价'!E2)*(C158:F205))</f>
        <v>7570</v>
      </c>
      <c r="J11" s="254" t="s">
        <v>415</v>
      </c>
      <c r="K11" s="254" t="s">
        <v>416</v>
      </c>
      <c r="L11" s="254" t="s">
        <v>417</v>
      </c>
      <c r="M11" s="254" t="s">
        <v>418</v>
      </c>
      <c r="N11" s="254" t="s">
        <v>419</v>
      </c>
      <c r="O11" s="254" t="s">
        <v>420</v>
      </c>
      <c r="P11" s="254" t="s">
        <v>421</v>
      </c>
      <c r="Q11" s="254" t="s">
        <v>422</v>
      </c>
      <c r="R11" s="254" t="s">
        <v>423</v>
      </c>
      <c r="S11" s="254" t="s">
        <v>424</v>
      </c>
    </row>
    <row r="12" spans="1:20" ht="14.25" customHeight="1" thickBot="1">
      <c r="A12" s="260" t="s">
        <v>401</v>
      </c>
      <c r="B12" s="268" t="s">
        <v>251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425</v>
      </c>
      <c r="H12" s="267">
        <f>SUMPRODUCT((B206:B244='2014基准地价'!I2)*(C3:F3='2014基准地价'!E2)*(C206:F244))</f>
        <v>0</v>
      </c>
      <c r="J12" s="254" t="s">
        <v>426</v>
      </c>
      <c r="K12" s="254" t="s">
        <v>427</v>
      </c>
      <c r="L12" s="254" t="s">
        <v>428</v>
      </c>
      <c r="M12" s="254" t="s">
        <v>429</v>
      </c>
      <c r="N12" s="254" t="s">
        <v>430</v>
      </c>
      <c r="O12" s="254" t="s">
        <v>431</v>
      </c>
      <c r="P12" s="254" t="s">
        <v>432</v>
      </c>
      <c r="Q12" s="254" t="s">
        <v>433</v>
      </c>
      <c r="R12" s="254" t="s">
        <v>434</v>
      </c>
      <c r="S12" s="254" t="s">
        <v>435</v>
      </c>
    </row>
    <row r="13" spans="1:20" ht="14.25" customHeight="1" thickBot="1">
      <c r="A13" s="260" t="s">
        <v>401</v>
      </c>
      <c r="B13" s="268" t="s">
        <v>343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436</v>
      </c>
      <c r="H13" s="267">
        <f>SUMPRODUCT((B245:B289='2014基准地价'!I2)*(C3:F3='2014基准地价'!E2)*(C245:F289))</f>
        <v>0</v>
      </c>
      <c r="J13" s="254" t="s">
        <v>437</v>
      </c>
      <c r="K13" s="254" t="s">
        <v>438</v>
      </c>
      <c r="L13" s="254" t="s">
        <v>439</v>
      </c>
      <c r="M13" s="254" t="s">
        <v>440</v>
      </c>
      <c r="N13" s="254" t="s">
        <v>441</v>
      </c>
      <c r="O13" s="254" t="s">
        <v>442</v>
      </c>
      <c r="P13" s="254" t="s">
        <v>443</v>
      </c>
      <c r="Q13" s="254" t="s">
        <v>444</v>
      </c>
      <c r="R13" s="254" t="s">
        <v>445</v>
      </c>
      <c r="S13" s="254" t="s">
        <v>446</v>
      </c>
    </row>
    <row r="14" spans="1:20" ht="14.25" customHeight="1" thickBot="1">
      <c r="A14" s="260" t="s">
        <v>401</v>
      </c>
      <c r="B14" s="268" t="s">
        <v>355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447</v>
      </c>
      <c r="H14" s="267">
        <f>SUMPRODUCT((B290:B316='2014基准地价'!I2)*(C3:F3='2014基准地价'!E2)*(C290:F316))</f>
        <v>0</v>
      </c>
      <c r="J14" s="254" t="s">
        <v>448</v>
      </c>
      <c r="K14" s="254" t="s">
        <v>449</v>
      </c>
      <c r="L14" s="254" t="s">
        <v>450</v>
      </c>
      <c r="M14" s="254" t="s">
        <v>451</v>
      </c>
      <c r="N14" s="254" t="s">
        <v>452</v>
      </c>
      <c r="O14" s="254" t="s">
        <v>453</v>
      </c>
      <c r="P14" s="254" t="s">
        <v>454</v>
      </c>
      <c r="Q14" s="254" t="s">
        <v>455</v>
      </c>
      <c r="R14" s="254" t="s">
        <v>456</v>
      </c>
      <c r="S14" s="254" t="s">
        <v>457</v>
      </c>
    </row>
    <row r="15" spans="1:20" ht="14.25" customHeight="1" thickBot="1">
      <c r="A15" s="260" t="s">
        <v>401</v>
      </c>
      <c r="B15" s="268" t="s">
        <v>367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458</v>
      </c>
      <c r="H15" s="267">
        <f>SUMPRODUCT((B317:B337='2014基准地价'!I2)*(C3:F3='2014基准地价'!E2)*(C317:F337))</f>
        <v>0</v>
      </c>
      <c r="J15" s="254" t="s">
        <v>459</v>
      </c>
      <c r="K15" s="254" t="s">
        <v>460</v>
      </c>
      <c r="L15" s="254" t="s">
        <v>461</v>
      </c>
      <c r="M15" s="254" t="s">
        <v>462</v>
      </c>
      <c r="N15" s="254" t="s">
        <v>463</v>
      </c>
      <c r="O15" s="254" t="s">
        <v>464</v>
      </c>
      <c r="P15" s="254" t="s">
        <v>465</v>
      </c>
      <c r="Q15" s="254" t="s">
        <v>466</v>
      </c>
      <c r="R15" s="254" t="s">
        <v>467</v>
      </c>
      <c r="S15" s="254" t="s">
        <v>468</v>
      </c>
    </row>
    <row r="16" spans="1:20" ht="14.25" customHeight="1" thickBot="1">
      <c r="A16" s="260" t="s">
        <v>401</v>
      </c>
      <c r="B16" s="268" t="s">
        <v>379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469</v>
      </c>
      <c r="H16" s="274">
        <f>SUMPRODUCT((B338:B344='2014基准地价'!I2)*(C3:F3='2014基准地价'!E2)*(C338:F344))</f>
        <v>0</v>
      </c>
      <c r="J16" s="254" t="s">
        <v>470</v>
      </c>
      <c r="K16" s="254" t="s">
        <v>471</v>
      </c>
      <c r="L16" s="254" t="s">
        <v>472</v>
      </c>
      <c r="M16" s="254" t="s">
        <v>473</v>
      </c>
      <c r="N16" s="254" t="s">
        <v>474</v>
      </c>
      <c r="O16" s="254" t="s">
        <v>475</v>
      </c>
      <c r="P16" s="254" t="s">
        <v>476</v>
      </c>
      <c r="Q16" s="254" t="s">
        <v>477</v>
      </c>
      <c r="R16" s="254" t="s">
        <v>478</v>
      </c>
      <c r="S16" s="254" t="s">
        <v>479</v>
      </c>
    </row>
    <row r="17" spans="1:19" ht="14.25" customHeight="1" thickBot="1">
      <c r="A17" s="260" t="s">
        <v>401</v>
      </c>
      <c r="B17" s="268" t="s">
        <v>391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480</v>
      </c>
      <c r="K17" s="254" t="s">
        <v>481</v>
      </c>
      <c r="L17" s="254" t="s">
        <v>482</v>
      </c>
      <c r="M17" s="254" t="s">
        <v>483</v>
      </c>
      <c r="N17" s="254" t="s">
        <v>484</v>
      </c>
      <c r="O17" s="254" t="s">
        <v>485</v>
      </c>
      <c r="P17" s="254" t="s">
        <v>486</v>
      </c>
      <c r="Q17" s="254" t="s">
        <v>487</v>
      </c>
      <c r="R17" s="254" t="s">
        <v>488</v>
      </c>
      <c r="S17" s="254" t="s">
        <v>489</v>
      </c>
    </row>
    <row r="18" spans="1:19" ht="14.25" customHeight="1" thickBot="1">
      <c r="A18" s="260" t="s">
        <v>401</v>
      </c>
      <c r="B18" s="268" t="s">
        <v>404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490</v>
      </c>
      <c r="K18" s="254" t="s">
        <v>491</v>
      </c>
      <c r="L18" s="254" t="s">
        <v>492</v>
      </c>
      <c r="M18" s="254" t="s">
        <v>493</v>
      </c>
      <c r="N18" s="254" t="s">
        <v>494</v>
      </c>
      <c r="O18" s="254" t="s">
        <v>495</v>
      </c>
      <c r="P18" s="254" t="s">
        <v>496</v>
      </c>
      <c r="Q18" s="254" t="s">
        <v>497</v>
      </c>
      <c r="R18" s="254" t="s">
        <v>498</v>
      </c>
      <c r="S18" s="254" t="s">
        <v>499</v>
      </c>
    </row>
    <row r="19" spans="1:19" ht="14.25" customHeight="1" thickBot="1">
      <c r="A19" s="260" t="s">
        <v>401</v>
      </c>
      <c r="B19" s="268" t="s">
        <v>415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500</v>
      </c>
      <c r="K19" s="254" t="s">
        <v>501</v>
      </c>
      <c r="L19" s="254" t="s">
        <v>502</v>
      </c>
      <c r="M19" s="254" t="s">
        <v>503</v>
      </c>
      <c r="N19" s="254" t="s">
        <v>504</v>
      </c>
      <c r="O19" s="254" t="s">
        <v>505</v>
      </c>
      <c r="P19" s="254" t="s">
        <v>506</v>
      </c>
      <c r="Q19" s="254" t="s">
        <v>507</v>
      </c>
      <c r="R19" s="254" t="s">
        <v>508</v>
      </c>
      <c r="S19" s="254" t="s">
        <v>509</v>
      </c>
    </row>
    <row r="20" spans="1:19" ht="14.25" customHeight="1" thickBot="1">
      <c r="A20" s="260" t="s">
        <v>401</v>
      </c>
      <c r="B20" s="268" t="s">
        <v>426</v>
      </c>
      <c r="C20" s="254">
        <v>27660</v>
      </c>
      <c r="D20" s="254">
        <v>24240</v>
      </c>
      <c r="E20" s="254">
        <v>24020</v>
      </c>
      <c r="F20" s="275"/>
      <c r="J20" s="254" t="s">
        <v>510</v>
      </c>
      <c r="K20" s="254" t="s">
        <v>511</v>
      </c>
      <c r="L20" s="254" t="s">
        <v>512</v>
      </c>
      <c r="M20" s="254" t="s">
        <v>513</v>
      </c>
      <c r="N20" s="254" t="s">
        <v>514</v>
      </c>
      <c r="O20" s="254" t="s">
        <v>515</v>
      </c>
      <c r="P20" s="254" t="s">
        <v>516</v>
      </c>
      <c r="Q20" s="254" t="s">
        <v>517</v>
      </c>
      <c r="R20" s="254" t="s">
        <v>518</v>
      </c>
      <c r="S20" s="254" t="s">
        <v>519</v>
      </c>
    </row>
    <row r="21" spans="1:19" ht="14.25" customHeight="1" thickBot="1">
      <c r="A21" s="260" t="s">
        <v>401</v>
      </c>
      <c r="B21" s="268" t="s">
        <v>437</v>
      </c>
      <c r="C21" s="254">
        <v>24720</v>
      </c>
      <c r="D21" s="254">
        <v>21670</v>
      </c>
      <c r="E21" s="254">
        <v>21510</v>
      </c>
      <c r="F21" s="275"/>
      <c r="K21" s="254" t="s">
        <v>520</v>
      </c>
      <c r="L21" s="254" t="s">
        <v>521</v>
      </c>
      <c r="M21" s="254" t="s">
        <v>522</v>
      </c>
      <c r="N21" s="254" t="s">
        <v>523</v>
      </c>
      <c r="O21" s="254" t="s">
        <v>524</v>
      </c>
      <c r="P21" s="254" t="s">
        <v>525</v>
      </c>
      <c r="Q21" s="254" t="s">
        <v>526</v>
      </c>
      <c r="R21" s="254" t="s">
        <v>527</v>
      </c>
      <c r="S21" s="254" t="s">
        <v>528</v>
      </c>
    </row>
    <row r="22" spans="1:19" ht="14.25" customHeight="1" thickBot="1">
      <c r="A22" s="260" t="s">
        <v>401</v>
      </c>
      <c r="B22" s="268" t="s">
        <v>529</v>
      </c>
      <c r="C22" s="254">
        <v>26530</v>
      </c>
      <c r="D22" s="254">
        <v>22980</v>
      </c>
      <c r="E22" s="254">
        <v>22650</v>
      </c>
      <c r="F22" s="275"/>
      <c r="L22" s="254" t="s">
        <v>530</v>
      </c>
      <c r="M22" s="254" t="s">
        <v>531</v>
      </c>
      <c r="N22" s="254" t="s">
        <v>532</v>
      </c>
      <c r="O22" s="254" t="s">
        <v>533</v>
      </c>
      <c r="P22" s="254" t="s">
        <v>534</v>
      </c>
      <c r="Q22" s="254" t="s">
        <v>535</v>
      </c>
      <c r="R22" s="254" t="s">
        <v>536</v>
      </c>
      <c r="S22" s="268" t="s">
        <v>537</v>
      </c>
    </row>
    <row r="23" spans="1:19" ht="14.25" customHeight="1" thickBot="1">
      <c r="A23" s="260" t="s">
        <v>401</v>
      </c>
      <c r="B23" s="268" t="s">
        <v>459</v>
      </c>
      <c r="C23" s="254">
        <v>24700</v>
      </c>
      <c r="D23" s="254">
        <v>27290</v>
      </c>
      <c r="E23" s="254">
        <v>26710</v>
      </c>
      <c r="F23" s="275"/>
      <c r="L23" s="254" t="s">
        <v>538</v>
      </c>
      <c r="M23" s="254" t="s">
        <v>539</v>
      </c>
      <c r="N23" s="254" t="s">
        <v>540</v>
      </c>
      <c r="O23" s="254" t="s">
        <v>541</v>
      </c>
      <c r="P23" s="254" t="s">
        <v>542</v>
      </c>
      <c r="Q23" s="254" t="s">
        <v>543</v>
      </c>
      <c r="R23" s="254" t="s">
        <v>544</v>
      </c>
    </row>
    <row r="24" spans="1:19" ht="14.25" customHeight="1" thickBot="1">
      <c r="A24" s="260" t="s">
        <v>401</v>
      </c>
      <c r="B24" s="268" t="s">
        <v>470</v>
      </c>
      <c r="C24" s="254">
        <v>23070</v>
      </c>
      <c r="D24" s="254">
        <v>24130</v>
      </c>
      <c r="E24" s="254">
        <v>23860</v>
      </c>
      <c r="F24" s="275"/>
      <c r="L24" s="254" t="s">
        <v>545</v>
      </c>
      <c r="M24" s="254" t="s">
        <v>546</v>
      </c>
      <c r="N24" s="254" t="s">
        <v>547</v>
      </c>
      <c r="O24" s="254" t="s">
        <v>548</v>
      </c>
      <c r="P24" s="254" t="s">
        <v>549</v>
      </c>
      <c r="Q24" s="254" t="s">
        <v>550</v>
      </c>
      <c r="R24" s="254" t="s">
        <v>551</v>
      </c>
    </row>
    <row r="25" spans="1:19" ht="14.25" customHeight="1" thickBot="1">
      <c r="A25" s="260" t="s">
        <v>401</v>
      </c>
      <c r="B25" s="268" t="s">
        <v>480</v>
      </c>
      <c r="C25" s="254">
        <v>27550</v>
      </c>
      <c r="D25" s="254">
        <v>25850</v>
      </c>
      <c r="E25" s="254">
        <v>25340</v>
      </c>
      <c r="F25" s="275"/>
      <c r="L25" s="254" t="s">
        <v>552</v>
      </c>
      <c r="M25" s="254" t="s">
        <v>553</v>
      </c>
      <c r="N25" s="254" t="s">
        <v>554</v>
      </c>
      <c r="O25" s="254" t="s">
        <v>555</v>
      </c>
      <c r="P25" s="254" t="s">
        <v>556</v>
      </c>
      <c r="Q25" s="254" t="s">
        <v>557</v>
      </c>
      <c r="R25" s="254" t="s">
        <v>558</v>
      </c>
    </row>
    <row r="26" spans="1:19" ht="14.25" customHeight="1" thickBot="1">
      <c r="A26" s="260" t="s">
        <v>401</v>
      </c>
      <c r="B26" s="268" t="s">
        <v>490</v>
      </c>
      <c r="C26" s="254"/>
      <c r="D26" s="254">
        <v>23900</v>
      </c>
      <c r="E26" s="254">
        <v>23590</v>
      </c>
      <c r="F26" s="275"/>
      <c r="L26" s="254" t="s">
        <v>559</v>
      </c>
      <c r="M26" s="254" t="s">
        <v>560</v>
      </c>
      <c r="N26" s="254" t="s">
        <v>561</v>
      </c>
      <c r="O26" s="254" t="s">
        <v>562</v>
      </c>
      <c r="P26" s="254" t="s">
        <v>563</v>
      </c>
      <c r="Q26" s="254" t="s">
        <v>564</v>
      </c>
      <c r="R26" s="254" t="s">
        <v>565</v>
      </c>
    </row>
    <row r="27" spans="1:19" ht="14.25" customHeight="1" thickBot="1">
      <c r="A27" s="260" t="s">
        <v>401</v>
      </c>
      <c r="B27" s="268" t="s">
        <v>500</v>
      </c>
      <c r="C27" s="254"/>
      <c r="D27" s="254">
        <v>22850</v>
      </c>
      <c r="E27" s="254">
        <v>21920</v>
      </c>
      <c r="F27" s="275"/>
      <c r="L27" s="254" t="s">
        <v>566</v>
      </c>
      <c r="M27" s="254" t="s">
        <v>567</v>
      </c>
      <c r="N27" s="254" t="s">
        <v>568</v>
      </c>
      <c r="O27" s="254" t="s">
        <v>569</v>
      </c>
      <c r="P27" s="254" t="s">
        <v>570</v>
      </c>
      <c r="Q27" s="254" t="s">
        <v>571</v>
      </c>
      <c r="R27" s="254" t="s">
        <v>572</v>
      </c>
    </row>
    <row r="28" spans="1:19" ht="14.25" customHeight="1" thickBot="1">
      <c r="A28" s="277" t="s">
        <v>401</v>
      </c>
      <c r="B28" s="269" t="s">
        <v>510</v>
      </c>
      <c r="C28" s="270"/>
      <c r="D28" s="270">
        <v>26610</v>
      </c>
      <c r="E28" s="270">
        <v>26370</v>
      </c>
      <c r="F28" s="271"/>
      <c r="L28" s="254" t="s">
        <v>573</v>
      </c>
      <c r="M28" s="254" t="s">
        <v>574</v>
      </c>
      <c r="N28" s="254" t="s">
        <v>575</v>
      </c>
      <c r="O28" s="254" t="s">
        <v>576</v>
      </c>
      <c r="P28" s="254" t="s">
        <v>577</v>
      </c>
      <c r="Q28" s="254" t="s">
        <v>578</v>
      </c>
    </row>
    <row r="29" spans="1:19" ht="14.25" customHeight="1" thickBot="1">
      <c r="A29" s="260" t="s">
        <v>579</v>
      </c>
      <c r="B29" s="261" t="s">
        <v>580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581</v>
      </c>
      <c r="N29" s="254" t="s">
        <v>582</v>
      </c>
      <c r="O29" s="254" t="s">
        <v>583</v>
      </c>
      <c r="P29" s="254" t="s">
        <v>584</v>
      </c>
      <c r="Q29" s="254" t="s">
        <v>585</v>
      </c>
    </row>
    <row r="30" spans="1:19" ht="14.25" customHeight="1" thickBot="1">
      <c r="A30" s="260" t="s">
        <v>579</v>
      </c>
      <c r="B30" s="268" t="s">
        <v>318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586</v>
      </c>
      <c r="N30" s="254" t="s">
        <v>587</v>
      </c>
      <c r="O30" s="254" t="s">
        <v>588</v>
      </c>
      <c r="P30" s="254" t="s">
        <v>589</v>
      </c>
      <c r="Q30" s="254" t="s">
        <v>590</v>
      </c>
    </row>
    <row r="31" spans="1:19" ht="14.25" customHeight="1" thickBot="1">
      <c r="A31" s="260" t="s">
        <v>579</v>
      </c>
      <c r="B31" s="268" t="s">
        <v>331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591</v>
      </c>
      <c r="N31" s="254" t="s">
        <v>592</v>
      </c>
      <c r="O31" s="254" t="s">
        <v>593</v>
      </c>
      <c r="P31" s="254" t="s">
        <v>594</v>
      </c>
      <c r="Q31" s="254" t="s">
        <v>595</v>
      </c>
    </row>
    <row r="32" spans="1:19" ht="14.25" customHeight="1" thickBot="1">
      <c r="A32" s="260" t="s">
        <v>579</v>
      </c>
      <c r="B32" s="268" t="s">
        <v>344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596</v>
      </c>
      <c r="N32" s="254" t="s">
        <v>597</v>
      </c>
      <c r="O32" s="254" t="s">
        <v>598</v>
      </c>
      <c r="P32" s="254" t="s">
        <v>599</v>
      </c>
      <c r="Q32" s="254" t="s">
        <v>600</v>
      </c>
    </row>
    <row r="33" spans="1:17" ht="14.25" customHeight="1" thickBot="1">
      <c r="A33" s="260" t="s">
        <v>579</v>
      </c>
      <c r="B33" s="268" t="s">
        <v>356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601</v>
      </c>
      <c r="N33" s="254" t="s">
        <v>602</v>
      </c>
      <c r="O33" s="254" t="s">
        <v>603</v>
      </c>
      <c r="P33" s="254" t="s">
        <v>604</v>
      </c>
      <c r="Q33" s="254" t="s">
        <v>605</v>
      </c>
    </row>
    <row r="34" spans="1:17" ht="14.25" customHeight="1" thickBot="1">
      <c r="A34" s="260" t="s">
        <v>579</v>
      </c>
      <c r="B34" s="268" t="s">
        <v>368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606</v>
      </c>
      <c r="N34" s="254" t="s">
        <v>607</v>
      </c>
      <c r="O34" s="254" t="s">
        <v>608</v>
      </c>
      <c r="P34" s="254" t="s">
        <v>609</v>
      </c>
      <c r="Q34" s="254" t="s">
        <v>610</v>
      </c>
    </row>
    <row r="35" spans="1:17" ht="14.25" customHeight="1" thickBot="1">
      <c r="A35" s="260" t="s">
        <v>579</v>
      </c>
      <c r="B35" s="268" t="s">
        <v>380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611</v>
      </c>
      <c r="N35" s="254" t="s">
        <v>612</v>
      </c>
      <c r="O35" s="254" t="s">
        <v>613</v>
      </c>
      <c r="P35" s="254" t="s">
        <v>614</v>
      </c>
      <c r="Q35" s="254" t="s">
        <v>615</v>
      </c>
    </row>
    <row r="36" spans="1:17" ht="14.25" customHeight="1" thickBot="1">
      <c r="A36" s="260" t="s">
        <v>579</v>
      </c>
      <c r="B36" s="268" t="s">
        <v>392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616</v>
      </c>
      <c r="O36" s="254" t="s">
        <v>617</v>
      </c>
      <c r="P36" s="254" t="s">
        <v>618</v>
      </c>
      <c r="Q36" s="254" t="s">
        <v>619</v>
      </c>
    </row>
    <row r="37" spans="1:17" ht="14.25" customHeight="1" thickBot="1">
      <c r="A37" s="260" t="s">
        <v>579</v>
      </c>
      <c r="B37" s="268" t="s">
        <v>405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620</v>
      </c>
      <c r="O37" s="254" t="s">
        <v>621</v>
      </c>
      <c r="P37" s="254" t="s">
        <v>622</v>
      </c>
      <c r="Q37" s="254" t="s">
        <v>623</v>
      </c>
    </row>
    <row r="38" spans="1:17" ht="14.25" customHeight="1" thickBot="1">
      <c r="A38" s="260" t="s">
        <v>579</v>
      </c>
      <c r="B38" s="268" t="s">
        <v>416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624</v>
      </c>
      <c r="O38" s="254" t="s">
        <v>625</v>
      </c>
      <c r="P38" s="254" t="s">
        <v>626</v>
      </c>
      <c r="Q38" s="254" t="s">
        <v>627</v>
      </c>
    </row>
    <row r="39" spans="1:17" ht="14.25" customHeight="1" thickBot="1">
      <c r="A39" s="260" t="s">
        <v>579</v>
      </c>
      <c r="B39" s="268" t="s">
        <v>427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628</v>
      </c>
      <c r="O39" s="254" t="s">
        <v>629</v>
      </c>
      <c r="P39" s="254" t="s">
        <v>630</v>
      </c>
      <c r="Q39" s="254" t="s">
        <v>631</v>
      </c>
    </row>
    <row r="40" spans="1:17" ht="14.25" customHeight="1" thickBot="1">
      <c r="A40" s="260" t="s">
        <v>579</v>
      </c>
      <c r="B40" s="268" t="s">
        <v>438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632</v>
      </c>
      <c r="O40" s="254" t="s">
        <v>633</v>
      </c>
      <c r="P40" s="254" t="s">
        <v>634</v>
      </c>
      <c r="Q40" s="254" t="s">
        <v>635</v>
      </c>
    </row>
    <row r="41" spans="1:17" ht="14.25" customHeight="1" thickBot="1">
      <c r="A41" s="260" t="s">
        <v>579</v>
      </c>
      <c r="B41" s="268" t="s">
        <v>449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636</v>
      </c>
      <c r="O41" s="268" t="s">
        <v>637</v>
      </c>
      <c r="Q41" s="268" t="s">
        <v>638</v>
      </c>
    </row>
    <row r="42" spans="1:17" ht="14.25" customHeight="1" thickBot="1">
      <c r="A42" s="260" t="s">
        <v>579</v>
      </c>
      <c r="B42" s="268" t="s">
        <v>460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639</v>
      </c>
      <c r="O42" s="254" t="s">
        <v>640</v>
      </c>
      <c r="Q42" s="254" t="s">
        <v>641</v>
      </c>
    </row>
    <row r="43" spans="1:17" ht="14.25" customHeight="1" thickBot="1">
      <c r="A43" s="260" t="s">
        <v>579</v>
      </c>
      <c r="B43" s="268" t="s">
        <v>471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642</v>
      </c>
      <c r="O43" s="254" t="s">
        <v>643</v>
      </c>
      <c r="Q43" s="254" t="s">
        <v>644</v>
      </c>
    </row>
    <row r="44" spans="1:17" ht="14.25" customHeight="1" thickBot="1">
      <c r="A44" s="260" t="s">
        <v>579</v>
      </c>
      <c r="B44" s="268" t="s">
        <v>481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645</v>
      </c>
      <c r="O44" s="254" t="s">
        <v>646</v>
      </c>
      <c r="Q44" s="254" t="s">
        <v>647</v>
      </c>
    </row>
    <row r="45" spans="1:17" ht="14.25" customHeight="1" thickBot="1">
      <c r="A45" s="260" t="s">
        <v>579</v>
      </c>
      <c r="B45" s="268" t="s">
        <v>491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648</v>
      </c>
      <c r="O45" s="254" t="s">
        <v>649</v>
      </c>
      <c r="Q45" s="254" t="s">
        <v>650</v>
      </c>
    </row>
    <row r="46" spans="1:17" ht="14.25" customHeight="1" thickBot="1">
      <c r="A46" s="260" t="s">
        <v>579</v>
      </c>
      <c r="B46" s="268" t="s">
        <v>501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651</v>
      </c>
      <c r="O46" s="254" t="s">
        <v>652</v>
      </c>
      <c r="Q46" s="254" t="s">
        <v>653</v>
      </c>
    </row>
    <row r="47" spans="1:17" ht="14.25" customHeight="1" thickBot="1">
      <c r="A47" s="260" t="s">
        <v>579</v>
      </c>
      <c r="B47" s="268" t="s">
        <v>511</v>
      </c>
      <c r="C47" s="254">
        <v>18220</v>
      </c>
      <c r="D47" s="254"/>
      <c r="E47" s="254">
        <v>17220</v>
      </c>
      <c r="F47" s="272"/>
      <c r="H47" s="276"/>
      <c r="N47" s="254" t="s">
        <v>654</v>
      </c>
      <c r="O47" s="254" t="s">
        <v>655</v>
      </c>
    </row>
    <row r="48" spans="1:17" ht="14.25" customHeight="1" thickBot="1">
      <c r="A48" s="260" t="s">
        <v>579</v>
      </c>
      <c r="B48" s="269" t="s">
        <v>520</v>
      </c>
      <c r="C48" s="270">
        <v>19430</v>
      </c>
      <c r="D48" s="270"/>
      <c r="E48" s="270">
        <v>17830</v>
      </c>
      <c r="F48" s="279"/>
      <c r="H48" s="276"/>
      <c r="N48" s="254" t="s">
        <v>656</v>
      </c>
      <c r="O48" s="254" t="s">
        <v>657</v>
      </c>
    </row>
    <row r="49" spans="1:15" ht="14.25" customHeight="1" thickBot="1">
      <c r="A49" s="260" t="s">
        <v>250</v>
      </c>
      <c r="B49" s="261" t="s">
        <v>658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659</v>
      </c>
      <c r="O49" s="254" t="s">
        <v>660</v>
      </c>
    </row>
    <row r="50" spans="1:15" ht="14.25" customHeight="1" thickBot="1">
      <c r="A50" s="260" t="s">
        <v>250</v>
      </c>
      <c r="B50" s="254" t="s">
        <v>319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250</v>
      </c>
      <c r="B51" s="254" t="s">
        <v>332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250</v>
      </c>
      <c r="B52" s="254" t="s">
        <v>345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250</v>
      </c>
      <c r="B53" s="254" t="s">
        <v>357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250</v>
      </c>
      <c r="B54" s="254" t="s">
        <v>369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250</v>
      </c>
      <c r="B55" s="254" t="s">
        <v>381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250</v>
      </c>
      <c r="B56" s="254" t="s">
        <v>393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250</v>
      </c>
      <c r="B57" s="254" t="s">
        <v>406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250</v>
      </c>
      <c r="B58" s="254" t="s">
        <v>417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250</v>
      </c>
      <c r="B59" s="254" t="s">
        <v>428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250</v>
      </c>
      <c r="B60" s="254" t="s">
        <v>439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250</v>
      </c>
      <c r="B61" s="254" t="s">
        <v>450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250</v>
      </c>
      <c r="B62" s="254" t="s">
        <v>461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250</v>
      </c>
      <c r="B63" s="254" t="s">
        <v>472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250</v>
      </c>
      <c r="B64" s="254" t="s">
        <v>482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250</v>
      </c>
      <c r="B65" s="254" t="s">
        <v>492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250</v>
      </c>
      <c r="B66" s="254" t="s">
        <v>502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250</v>
      </c>
      <c r="B67" s="254" t="s">
        <v>512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250</v>
      </c>
      <c r="B68" s="254" t="s">
        <v>521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250</v>
      </c>
      <c r="B69" s="254" t="s">
        <v>530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250</v>
      </c>
      <c r="B70" s="254" t="s">
        <v>538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250</v>
      </c>
      <c r="B71" s="254" t="s">
        <v>545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250</v>
      </c>
      <c r="B72" s="254" t="s">
        <v>552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250</v>
      </c>
      <c r="B73" s="254" t="s">
        <v>559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250</v>
      </c>
      <c r="B74" s="254" t="s">
        <v>566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250</v>
      </c>
      <c r="B75" s="270" t="s">
        <v>573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661</v>
      </c>
      <c r="B76" s="261" t="s">
        <v>662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661</v>
      </c>
      <c r="B77" s="254" t="s">
        <v>320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661</v>
      </c>
      <c r="B78" s="254" t="s">
        <v>333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661</v>
      </c>
      <c r="B79" s="254" t="s">
        <v>346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661</v>
      </c>
      <c r="B80" s="254" t="s">
        <v>358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661</v>
      </c>
      <c r="B81" s="254" t="s">
        <v>370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661</v>
      </c>
      <c r="B82" s="254" t="s">
        <v>382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661</v>
      </c>
      <c r="B83" s="254" t="s">
        <v>394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661</v>
      </c>
      <c r="B84" s="254" t="s">
        <v>407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661</v>
      </c>
      <c r="B85" s="254" t="s">
        <v>418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661</v>
      </c>
      <c r="B86" s="254" t="s">
        <v>429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661</v>
      </c>
      <c r="B87" s="254" t="s">
        <v>440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661</v>
      </c>
      <c r="B88" s="254" t="s">
        <v>451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661</v>
      </c>
      <c r="B89" s="254" t="s">
        <v>462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661</v>
      </c>
      <c r="B90" s="254" t="s">
        <v>473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661</v>
      </c>
      <c r="B91" s="254" t="s">
        <v>483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661</v>
      </c>
      <c r="B92" s="254" t="s">
        <v>493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661</v>
      </c>
      <c r="B93" s="254" t="s">
        <v>503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661</v>
      </c>
      <c r="B94" s="254" t="s">
        <v>513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661</v>
      </c>
      <c r="B95" s="254" t="s">
        <v>522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661</v>
      </c>
      <c r="B96" s="254" t="s">
        <v>531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661</v>
      </c>
      <c r="B97" s="254" t="s">
        <v>539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661</v>
      </c>
      <c r="B98" s="254" t="s">
        <v>546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661</v>
      </c>
      <c r="B99" s="254" t="s">
        <v>553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661</v>
      </c>
      <c r="B100" s="254" t="s">
        <v>560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661</v>
      </c>
      <c r="B101" s="254" t="s">
        <v>567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661</v>
      </c>
      <c r="B102" s="254" t="s">
        <v>574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661</v>
      </c>
      <c r="B103" s="254" t="s">
        <v>581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661</v>
      </c>
      <c r="B104" s="254" t="s">
        <v>586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661</v>
      </c>
      <c r="B105" s="254" t="s">
        <v>591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661</v>
      </c>
      <c r="B106" s="254" t="s">
        <v>596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661</v>
      </c>
      <c r="B107" s="254" t="s">
        <v>601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661</v>
      </c>
      <c r="B108" s="254" t="s">
        <v>606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661</v>
      </c>
      <c r="B109" s="270" t="s">
        <v>611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33</v>
      </c>
      <c r="B110" s="261" t="s">
        <v>663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33</v>
      </c>
      <c r="B111" s="254" t="s">
        <v>321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33</v>
      </c>
      <c r="B112" s="254" t="s">
        <v>334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33</v>
      </c>
      <c r="B113" s="254" t="s">
        <v>347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33</v>
      </c>
      <c r="B114" s="254" t="s">
        <v>359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33</v>
      </c>
      <c r="B115" s="254" t="s">
        <v>371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33</v>
      </c>
      <c r="B116" s="254" t="s">
        <v>383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33</v>
      </c>
      <c r="B117" s="254" t="s">
        <v>395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33</v>
      </c>
      <c r="B118" s="254" t="s">
        <v>408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33</v>
      </c>
      <c r="B119" s="254" t="s">
        <v>419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33</v>
      </c>
      <c r="B120" s="254" t="s">
        <v>430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33</v>
      </c>
      <c r="B121" s="254" t="s">
        <v>441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33</v>
      </c>
      <c r="B122" s="254" t="s">
        <v>452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33</v>
      </c>
      <c r="B123" s="254" t="s">
        <v>463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33</v>
      </c>
      <c r="B124" s="254" t="s">
        <v>474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33</v>
      </c>
      <c r="B125" s="254" t="s">
        <v>484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33</v>
      </c>
      <c r="B126" s="254" t="s">
        <v>494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33</v>
      </c>
      <c r="B127" s="254" t="s">
        <v>504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33</v>
      </c>
      <c r="B128" s="254" t="s">
        <v>514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33</v>
      </c>
      <c r="B129" s="254" t="s">
        <v>523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33</v>
      </c>
      <c r="B130" s="254" t="s">
        <v>532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33</v>
      </c>
      <c r="B131" s="254" t="s">
        <v>540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33</v>
      </c>
      <c r="B132" s="254" t="s">
        <v>547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33</v>
      </c>
      <c r="B133" s="254" t="s">
        <v>554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33</v>
      </c>
      <c r="B134" s="254" t="s">
        <v>561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33</v>
      </c>
      <c r="B135" s="254" t="s">
        <v>568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33</v>
      </c>
      <c r="B136" s="254" t="s">
        <v>575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33</v>
      </c>
      <c r="B137" s="254" t="s">
        <v>582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33</v>
      </c>
      <c r="B138" s="254" t="s">
        <v>587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33</v>
      </c>
      <c r="B139" s="254" t="s">
        <v>592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33</v>
      </c>
      <c r="B140" s="254" t="s">
        <v>597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33</v>
      </c>
      <c r="B141" s="254" t="s">
        <v>602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33</v>
      </c>
      <c r="B142" s="254" t="s">
        <v>607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33</v>
      </c>
      <c r="B143" s="254" t="s">
        <v>612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33</v>
      </c>
      <c r="B144" s="254" t="s">
        <v>616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33</v>
      </c>
      <c r="B145" s="254" t="s">
        <v>620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33</v>
      </c>
      <c r="B146" s="254" t="s">
        <v>624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33</v>
      </c>
      <c r="B147" s="254" t="s">
        <v>628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33</v>
      </c>
      <c r="B148" s="254" t="s">
        <v>632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33</v>
      </c>
      <c r="B149" s="254" t="s">
        <v>636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33</v>
      </c>
      <c r="B150" s="254" t="s">
        <v>639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33</v>
      </c>
      <c r="B151" s="254" t="s">
        <v>642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33</v>
      </c>
      <c r="B152" s="254" t="s">
        <v>645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33</v>
      </c>
      <c r="B153" s="254" t="s">
        <v>648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33</v>
      </c>
      <c r="B154" s="254" t="s">
        <v>651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33</v>
      </c>
      <c r="B155" s="254" t="s">
        <v>654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33</v>
      </c>
      <c r="B156" s="254" t="s">
        <v>656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33</v>
      </c>
      <c r="B157" s="270" t="s">
        <v>659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664</v>
      </c>
      <c r="B158" s="261" t="s">
        <v>665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664</v>
      </c>
      <c r="B159" s="254" t="s">
        <v>322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664</v>
      </c>
      <c r="B160" s="254" t="s">
        <v>335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664</v>
      </c>
      <c r="B161" s="254" t="s">
        <v>348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664</v>
      </c>
      <c r="B162" s="254" t="s">
        <v>360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664</v>
      </c>
      <c r="B163" s="254" t="s">
        <v>372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664</v>
      </c>
      <c r="B164" s="254" t="s">
        <v>384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664</v>
      </c>
      <c r="B165" s="254" t="s">
        <v>396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664</v>
      </c>
      <c r="B166" s="254" t="s">
        <v>409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664</v>
      </c>
      <c r="B167" s="254" t="s">
        <v>420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664</v>
      </c>
      <c r="B168" s="254" t="s">
        <v>431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664</v>
      </c>
      <c r="B169" s="254" t="s">
        <v>442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664</v>
      </c>
      <c r="B170" s="254" t="s">
        <v>453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664</v>
      </c>
      <c r="B171" s="254" t="s">
        <v>464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664</v>
      </c>
      <c r="B172" s="254" t="s">
        <v>475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664</v>
      </c>
      <c r="B173" s="254" t="s">
        <v>485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664</v>
      </c>
      <c r="B174" s="254" t="s">
        <v>495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664</v>
      </c>
      <c r="B175" s="254" t="s">
        <v>505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664</v>
      </c>
      <c r="B176" s="254" t="s">
        <v>515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664</v>
      </c>
      <c r="B177" s="254" t="s">
        <v>524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664</v>
      </c>
      <c r="B178" s="254" t="s">
        <v>533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664</v>
      </c>
      <c r="B179" s="254" t="s">
        <v>541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664</v>
      </c>
      <c r="B180" s="254" t="s">
        <v>548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664</v>
      </c>
      <c r="B181" s="254" t="s">
        <v>555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664</v>
      </c>
      <c r="B182" s="254" t="s">
        <v>562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664</v>
      </c>
      <c r="B183" s="254" t="s">
        <v>569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664</v>
      </c>
      <c r="B184" s="254" t="s">
        <v>576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664</v>
      </c>
      <c r="B185" s="254" t="s">
        <v>583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664</v>
      </c>
      <c r="B186" s="254" t="s">
        <v>588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664</v>
      </c>
      <c r="B187" s="254" t="s">
        <v>593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664</v>
      </c>
      <c r="B188" s="254" t="s">
        <v>598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664</v>
      </c>
      <c r="B189" s="254" t="s">
        <v>603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664</v>
      </c>
      <c r="B190" s="254" t="s">
        <v>608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664</v>
      </c>
      <c r="B191" s="254" t="s">
        <v>613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664</v>
      </c>
      <c r="B192" s="254" t="s">
        <v>617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664</v>
      </c>
      <c r="B193" s="254" t="s">
        <v>621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664</v>
      </c>
      <c r="B194" s="254" t="s">
        <v>625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664</v>
      </c>
      <c r="B195" s="254" t="s">
        <v>629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664</v>
      </c>
      <c r="B196" s="254" t="s">
        <v>633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664</v>
      </c>
      <c r="B197" s="254" t="s">
        <v>637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664</v>
      </c>
      <c r="B198" s="254" t="s">
        <v>640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664</v>
      </c>
      <c r="B199" s="254" t="s">
        <v>643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664</v>
      </c>
      <c r="B200" s="254" t="s">
        <v>646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664</v>
      </c>
      <c r="B201" s="254" t="s">
        <v>649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664</v>
      </c>
      <c r="B202" s="254" t="s">
        <v>652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664</v>
      </c>
      <c r="B203" s="254" t="s">
        <v>655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664</v>
      </c>
      <c r="B204" s="254" t="s">
        <v>657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664</v>
      </c>
      <c r="B205" s="254" t="s">
        <v>660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666</v>
      </c>
      <c r="B206" s="261" t="s">
        <v>667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666</v>
      </c>
      <c r="B207" s="254" t="s">
        <v>323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666</v>
      </c>
      <c r="B208" s="254" t="s">
        <v>336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666</v>
      </c>
      <c r="B209" s="254" t="s">
        <v>349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666</v>
      </c>
      <c r="B210" s="254" t="s">
        <v>361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666</v>
      </c>
      <c r="B211" s="254" t="s">
        <v>373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666</v>
      </c>
      <c r="B212" s="254" t="s">
        <v>385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666</v>
      </c>
      <c r="B213" s="254" t="s">
        <v>397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666</v>
      </c>
      <c r="B214" s="254" t="s">
        <v>410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666</v>
      </c>
      <c r="B215" s="254" t="s">
        <v>421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666</v>
      </c>
      <c r="B216" s="254" t="s">
        <v>432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666</v>
      </c>
      <c r="B217" s="254" t="s">
        <v>443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666</v>
      </c>
      <c r="B218" s="254" t="s">
        <v>454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666</v>
      </c>
      <c r="B219" s="254" t="s">
        <v>465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666</v>
      </c>
      <c r="B220" s="254" t="s">
        <v>476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666</v>
      </c>
      <c r="B221" s="254" t="s">
        <v>486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666</v>
      </c>
      <c r="B222" s="254" t="s">
        <v>496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666</v>
      </c>
      <c r="B223" s="254" t="s">
        <v>506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666</v>
      </c>
      <c r="B224" s="254" t="s">
        <v>516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666</v>
      </c>
      <c r="B225" s="254" t="s">
        <v>525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666</v>
      </c>
      <c r="B226" s="254" t="s">
        <v>534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666</v>
      </c>
      <c r="B227" s="254" t="s">
        <v>542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666</v>
      </c>
      <c r="B228" s="254" t="s">
        <v>549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666</v>
      </c>
      <c r="B229" s="254" t="s">
        <v>556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666</v>
      </c>
      <c r="B230" s="254" t="s">
        <v>563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666</v>
      </c>
      <c r="B231" s="254" t="s">
        <v>570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666</v>
      </c>
      <c r="B232" s="254" t="s">
        <v>577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666</v>
      </c>
      <c r="B233" s="254" t="s">
        <v>584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666</v>
      </c>
      <c r="B234" s="254" t="s">
        <v>589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666</v>
      </c>
      <c r="B235" s="254" t="s">
        <v>594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666</v>
      </c>
      <c r="B236" s="254" t="s">
        <v>599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666</v>
      </c>
      <c r="B237" s="254" t="s">
        <v>604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666</v>
      </c>
      <c r="B238" s="254" t="s">
        <v>609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666</v>
      </c>
      <c r="B239" s="254" t="s">
        <v>614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666</v>
      </c>
      <c r="B240" s="254" t="s">
        <v>618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666</v>
      </c>
      <c r="B241" s="254" t="s">
        <v>622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666</v>
      </c>
      <c r="B242" s="254" t="s">
        <v>626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666</v>
      </c>
      <c r="B243" s="254" t="s">
        <v>630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666</v>
      </c>
      <c r="B244" s="270" t="s">
        <v>634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668</v>
      </c>
      <c r="B245" s="261" t="s">
        <v>669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668</v>
      </c>
      <c r="B246" s="254" t="s">
        <v>324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668</v>
      </c>
      <c r="B247" s="254" t="s">
        <v>670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668</v>
      </c>
      <c r="B248" s="254" t="s">
        <v>671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668</v>
      </c>
      <c r="B249" s="254" t="s">
        <v>362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668</v>
      </c>
      <c r="B250" s="254" t="s">
        <v>374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668</v>
      </c>
      <c r="B251" s="254" t="s">
        <v>386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668</v>
      </c>
      <c r="B252" s="254" t="s">
        <v>398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668</v>
      </c>
      <c r="B253" s="254" t="s">
        <v>411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668</v>
      </c>
      <c r="B254" s="254" t="s">
        <v>422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668</v>
      </c>
      <c r="B255" s="254" t="s">
        <v>433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668</v>
      </c>
      <c r="B256" s="254" t="s">
        <v>444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668</v>
      </c>
      <c r="B257" s="254" t="s">
        <v>455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668</v>
      </c>
      <c r="B258" s="254" t="s">
        <v>466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668</v>
      </c>
      <c r="B259" s="254" t="s">
        <v>477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668</v>
      </c>
      <c r="B260" s="254" t="s">
        <v>487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668</v>
      </c>
      <c r="B261" s="254" t="s">
        <v>497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668</v>
      </c>
      <c r="B262" s="254" t="s">
        <v>507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668</v>
      </c>
      <c r="B263" s="254" t="s">
        <v>517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668</v>
      </c>
      <c r="B264" s="254" t="s">
        <v>526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668</v>
      </c>
      <c r="B265" s="254" t="s">
        <v>535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668</v>
      </c>
      <c r="B266" s="254" t="s">
        <v>543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668</v>
      </c>
      <c r="B267" s="254" t="s">
        <v>550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668</v>
      </c>
      <c r="B268" s="254" t="s">
        <v>557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668</v>
      </c>
      <c r="B269" s="254" t="s">
        <v>564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668</v>
      </c>
      <c r="B270" s="254" t="s">
        <v>571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668</v>
      </c>
      <c r="B271" s="254" t="s">
        <v>578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668</v>
      </c>
      <c r="B272" s="254" t="s">
        <v>585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668</v>
      </c>
      <c r="B273" s="254" t="s">
        <v>590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668</v>
      </c>
      <c r="B274" s="254" t="s">
        <v>595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668</v>
      </c>
      <c r="B275" s="254" t="s">
        <v>600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668</v>
      </c>
      <c r="B276" s="254" t="s">
        <v>605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668</v>
      </c>
      <c r="B277" s="254" t="s">
        <v>610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668</v>
      </c>
      <c r="B278" s="254" t="s">
        <v>615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668</v>
      </c>
      <c r="B279" s="254" t="s">
        <v>619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668</v>
      </c>
      <c r="B280" s="254" t="s">
        <v>623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668</v>
      </c>
      <c r="B281" s="254" t="s">
        <v>627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668</v>
      </c>
      <c r="B282" s="254" t="s">
        <v>631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668</v>
      </c>
      <c r="B283" s="254" t="s">
        <v>635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668</v>
      </c>
      <c r="B284" s="254" t="s">
        <v>638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668</v>
      </c>
      <c r="B285" s="254" t="s">
        <v>641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668</v>
      </c>
      <c r="B286" s="254" t="s">
        <v>644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668</v>
      </c>
      <c r="B287" s="254" t="s">
        <v>647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668</v>
      </c>
      <c r="B288" s="254" t="s">
        <v>650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668</v>
      </c>
      <c r="B289" s="270" t="s">
        <v>653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672</v>
      </c>
      <c r="B290" s="261" t="s">
        <v>673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672</v>
      </c>
      <c r="B291" s="254" t="s">
        <v>325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672</v>
      </c>
      <c r="B292" s="254" t="s">
        <v>674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672</v>
      </c>
      <c r="B293" s="254" t="s">
        <v>675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672</v>
      </c>
      <c r="B294" s="254" t="s">
        <v>676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672</v>
      </c>
      <c r="B295" s="254" t="s">
        <v>363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672</v>
      </c>
      <c r="B296" s="254" t="s">
        <v>375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672</v>
      </c>
      <c r="B297" s="254" t="s">
        <v>387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672</v>
      </c>
      <c r="B298" s="254" t="s">
        <v>399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672</v>
      </c>
      <c r="B299" s="254" t="s">
        <v>412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672</v>
      </c>
      <c r="B300" s="254" t="s">
        <v>423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672</v>
      </c>
      <c r="B301" s="254" t="s">
        <v>434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672</v>
      </c>
      <c r="B302" s="254" t="s">
        <v>445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672</v>
      </c>
      <c r="B303" s="254" t="s">
        <v>456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672</v>
      </c>
      <c r="B304" s="254" t="s">
        <v>467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672</v>
      </c>
      <c r="B305" s="254" t="s">
        <v>478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672</v>
      </c>
      <c r="B306" s="254" t="s">
        <v>488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672</v>
      </c>
      <c r="B307" s="254" t="s">
        <v>498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672</v>
      </c>
      <c r="B308" s="254" t="s">
        <v>508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672</v>
      </c>
      <c r="B309" s="254" t="s">
        <v>518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672</v>
      </c>
      <c r="B310" s="254" t="s">
        <v>527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672</v>
      </c>
      <c r="B311" s="254" t="s">
        <v>536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672</v>
      </c>
      <c r="B312" s="254" t="s">
        <v>544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672</v>
      </c>
      <c r="B313" s="254" t="s">
        <v>551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672</v>
      </c>
      <c r="B314" s="254" t="s">
        <v>558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672</v>
      </c>
      <c r="B315" s="254" t="s">
        <v>565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672</v>
      </c>
      <c r="B316" s="270" t="s">
        <v>572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458</v>
      </c>
      <c r="B317" s="261" t="s">
        <v>677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458</v>
      </c>
      <c r="B318" s="254" t="s">
        <v>678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458</v>
      </c>
      <c r="B319" s="254" t="s">
        <v>679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458</v>
      </c>
      <c r="B320" s="254" t="s">
        <v>352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458</v>
      </c>
      <c r="B321" s="254" t="s">
        <v>364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458</v>
      </c>
      <c r="B322" s="254" t="s">
        <v>376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458</v>
      </c>
      <c r="B323" s="254" t="s">
        <v>388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458</v>
      </c>
      <c r="B324" s="254" t="s">
        <v>400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458</v>
      </c>
      <c r="B325" s="254" t="s">
        <v>413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458</v>
      </c>
      <c r="B326" s="254" t="s">
        <v>424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458</v>
      </c>
      <c r="B327" s="254" t="s">
        <v>435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458</v>
      </c>
      <c r="B328" s="254" t="s">
        <v>446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458</v>
      </c>
      <c r="B329" s="254" t="s">
        <v>457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458</v>
      </c>
      <c r="B330" s="254" t="s">
        <v>468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458</v>
      </c>
      <c r="B331" s="254" t="s">
        <v>479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458</v>
      </c>
      <c r="B332" s="254" t="s">
        <v>489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458</v>
      </c>
      <c r="B333" s="254" t="s">
        <v>499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458</v>
      </c>
      <c r="B334" s="254" t="s">
        <v>509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458</v>
      </c>
      <c r="B335" s="254" t="s">
        <v>519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458</v>
      </c>
      <c r="B336" s="254" t="s">
        <v>528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458</v>
      </c>
      <c r="B337" s="270" t="s">
        <v>537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469</v>
      </c>
      <c r="B338" s="261" t="s">
        <v>680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469</v>
      </c>
      <c r="B339" s="254" t="s">
        <v>681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469</v>
      </c>
      <c r="B340" s="254" t="s">
        <v>682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469</v>
      </c>
      <c r="B341" s="254" t="s">
        <v>683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469</v>
      </c>
      <c r="B342" s="254" t="s">
        <v>365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469</v>
      </c>
      <c r="B343" s="254" t="s">
        <v>377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469</v>
      </c>
      <c r="B344" s="270" t="s">
        <v>389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2025-10-10T08:57:01Z</dcterms:modified>
</cp:coreProperties>
</file>