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司法红莲南里\"/>
    </mc:Choice>
  </mc:AlternateContent>
  <xr:revisionPtr revIDLastSave="0" documentId="13_ncr:1_{854CE156-629E-4161-BCFB-C67CE2FDBF1D}" xr6:coauthVersionLast="45" xr6:coauthVersionMax="45" xr10:uidLastSave="{00000000-0000-0000-0000-000000000000}"/>
  <bookViews>
    <workbookView xWindow="-120" yWindow="-120" windowWidth="20730" windowHeight="1116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1" i="21" l="1"/>
  <c r="G7" i="21"/>
  <c r="I7" i="21"/>
  <c r="G47" i="21"/>
  <c r="I47" i="21"/>
  <c r="E47" i="21"/>
  <c r="I44" i="21"/>
  <c r="E44" i="21"/>
  <c r="I41" i="21"/>
  <c r="E41" i="21"/>
  <c r="E7" i="21"/>
  <c r="O8" i="80"/>
  <c r="O7" i="80"/>
  <c r="O6" i="80"/>
  <c r="O5" i="80"/>
  <c r="N31" i="81" l="1"/>
  <c r="N20" i="81"/>
  <c r="N12" i="81"/>
  <c r="N3" i="81"/>
  <c r="R47" i="21" l="1"/>
  <c r="O3" i="80"/>
  <c r="O4" i="80"/>
  <c r="O9" i="80"/>
  <c r="O2" i="80"/>
  <c r="D5" i="9"/>
  <c r="I5" i="21"/>
  <c r="G5" i="21"/>
  <c r="E5" i="21"/>
  <c r="E92" i="21"/>
  <c r="C92" i="21"/>
  <c r="I10" i="21"/>
  <c r="G10" i="21"/>
  <c r="E10" i="21"/>
  <c r="D66" i="21"/>
  <c r="E66" i="21" s="1"/>
  <c r="F66" i="21" s="1"/>
  <c r="G66" i="21" s="1"/>
  <c r="H66" i="21" s="1"/>
  <c r="I66" i="21" s="1"/>
  <c r="Y6" i="1"/>
  <c r="B59" i="1"/>
  <c r="F19" i="6"/>
  <c r="D3" i="4"/>
  <c r="L26" i="79"/>
  <c r="M26" i="79"/>
  <c r="P26" i="79" s="1"/>
  <c r="N26" i="79"/>
  <c r="L27" i="79"/>
  <c r="M27" i="79"/>
  <c r="N27" i="79"/>
  <c r="L28" i="79"/>
  <c r="M28" i="79"/>
  <c r="N28" i="79"/>
  <c r="I26" i="79"/>
  <c r="I27" i="79"/>
  <c r="I28" i="79"/>
  <c r="I6" i="79"/>
  <c r="I7" i="79"/>
  <c r="I8" i="79"/>
  <c r="K6" i="79"/>
  <c r="L6" i="79"/>
  <c r="M6" i="79"/>
  <c r="N6" i="79"/>
  <c r="O6" i="79"/>
  <c r="K7" i="79"/>
  <c r="L7" i="79"/>
  <c r="M7" i="79"/>
  <c r="N7" i="79"/>
  <c r="O7" i="79"/>
  <c r="K8" i="79"/>
  <c r="L8" i="79"/>
  <c r="M8" i="79"/>
  <c r="N8" i="79"/>
  <c r="O8" i="79"/>
  <c r="B10" i="74"/>
  <c r="AH5" i="71"/>
  <c r="AG5" i="71"/>
  <c r="AE5" i="71"/>
  <c r="AF5" i="7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s="1"/>
  <c r="X7" i="71"/>
  <c r="Q7" i="71"/>
  <c r="P7" i="71"/>
  <c r="O7" i="71"/>
  <c r="N7" i="71"/>
  <c r="B3" i="78"/>
  <c r="C7" i="78" s="1"/>
  <c r="D7" i="78" s="1"/>
  <c r="F13" i="1"/>
  <c r="G13" i="1" s="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C27" i="43"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c r="I34" i="79"/>
  <c r="AB33" i="79"/>
  <c r="AA33" i="79"/>
  <c r="Z33" i="79"/>
  <c r="N33" i="79"/>
  <c r="M33" i="79"/>
  <c r="T33" i="79" s="1"/>
  <c r="W33" i="79" s="1"/>
  <c r="L33" i="79"/>
  <c r="I33" i="79"/>
  <c r="AB32" i="79"/>
  <c r="AA32" i="79"/>
  <c r="Z32" i="79"/>
  <c r="N32" i="79"/>
  <c r="M32" i="79"/>
  <c r="T23" i="79" s="1"/>
  <c r="W23" i="79" s="1"/>
  <c r="L32" i="79"/>
  <c r="I32" i="79"/>
  <c r="AD32" i="79" s="1"/>
  <c r="AB31" i="79"/>
  <c r="AA31" i="79"/>
  <c r="Z31" i="79"/>
  <c r="N31" i="79"/>
  <c r="M31" i="79"/>
  <c r="T31" i="79"/>
  <c r="W31" i="79" s="1"/>
  <c r="L31" i="79"/>
  <c r="I31" i="79"/>
  <c r="AB30" i="79"/>
  <c r="AA30" i="79"/>
  <c r="Z30" i="79"/>
  <c r="N30" i="79"/>
  <c r="M30" i="79"/>
  <c r="L30" i="79"/>
  <c r="S30" i="79" s="1"/>
  <c r="I30" i="79"/>
  <c r="AB29" i="79"/>
  <c r="AA29" i="79"/>
  <c r="Z29" i="79"/>
  <c r="N29" i="79"/>
  <c r="U26" i="79" s="1"/>
  <c r="M29" i="79"/>
  <c r="L29" i="79"/>
  <c r="S28" i="79" s="1"/>
  <c r="I29" i="79"/>
  <c r="AB25" i="79"/>
  <c r="AA25" i="79"/>
  <c r="Z25" i="79"/>
  <c r="N25" i="79"/>
  <c r="U23" i="79"/>
  <c r="M25" i="79"/>
  <c r="L25" i="79"/>
  <c r="L23" i="79" s="1"/>
  <c r="I25" i="79"/>
  <c r="AD25" i="79" s="1"/>
  <c r="AB23" i="79"/>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s="1"/>
  <c r="Z13" i="79"/>
  <c r="Y13" i="79"/>
  <c r="O13" i="79"/>
  <c r="V13" i="79" s="1"/>
  <c r="N13" i="79"/>
  <c r="M13" i="79"/>
  <c r="P13" i="79" s="1"/>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s="1"/>
  <c r="L11" i="79"/>
  <c r="K11" i="79"/>
  <c r="I11" i="79"/>
  <c r="AC10" i="79"/>
  <c r="AB10" i="79"/>
  <c r="AA10" i="79"/>
  <c r="AD10" i="79"/>
  <c r="Z10" i="79"/>
  <c r="Y10" i="79"/>
  <c r="O10" i="79"/>
  <c r="N10" i="79"/>
  <c r="U10" i="79" s="1"/>
  <c r="M10" i="79"/>
  <c r="L10" i="79"/>
  <c r="L3" i="79" s="1"/>
  <c r="K10" i="79"/>
  <c r="I10" i="79"/>
  <c r="AC9" i="79"/>
  <c r="AB9" i="79"/>
  <c r="AA9" i="79"/>
  <c r="AD9" i="79" s="1"/>
  <c r="Z9" i="79"/>
  <c r="Y9" i="79"/>
  <c r="O9" i="79"/>
  <c r="V6" i="79" s="1"/>
  <c r="N9" i="79"/>
  <c r="M9" i="79"/>
  <c r="L9" i="79"/>
  <c r="K9" i="79"/>
  <c r="R7" i="79" s="1"/>
  <c r="I9" i="79"/>
  <c r="AC5" i="79"/>
  <c r="AC3" i="79" s="1"/>
  <c r="AB5" i="79"/>
  <c r="AA5" i="79"/>
  <c r="AD5" i="79" s="1"/>
  <c r="Z5" i="79"/>
  <c r="Y5" i="79"/>
  <c r="O5" i="79"/>
  <c r="N5" i="79"/>
  <c r="M5" i="79"/>
  <c r="P5" i="79" s="1"/>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13" i="79"/>
  <c r="P9" i="79"/>
  <c r="M3" i="79"/>
  <c r="P3" i="79" s="1"/>
  <c r="S7" i="79"/>
  <c r="T10" i="79"/>
  <c r="W10" i="79" s="1"/>
  <c r="S11" i="79"/>
  <c r="T12" i="79"/>
  <c r="W12" i="79" s="1"/>
  <c r="R13" i="79"/>
  <c r="M23" i="79"/>
  <c r="P23" i="79" s="1"/>
  <c r="T25" i="79"/>
  <c r="W25" i="79" s="1"/>
  <c r="S27" i="79"/>
  <c r="U28" i="79"/>
  <c r="S31" i="79"/>
  <c r="T32" i="79"/>
  <c r="W32" i="79" s="1"/>
  <c r="S33" i="79"/>
  <c r="U33" i="79"/>
  <c r="AD34" i="79"/>
  <c r="R9" i="79"/>
  <c r="P12" i="79"/>
  <c r="P14" i="79"/>
  <c r="Z23" i="79"/>
  <c r="T30" i="79"/>
  <c r="W30" i="79" s="1"/>
  <c r="P10" i="79"/>
  <c r="S6" i="43"/>
  <c r="S4" i="43"/>
  <c r="E93" i="43"/>
  <c r="B91" i="43" s="1"/>
  <c r="N21" i="43"/>
  <c r="H116" i="43"/>
  <c r="F38" i="43"/>
  <c r="F40" i="43"/>
  <c r="F42" i="43"/>
  <c r="N1" i="43"/>
  <c r="M2" i="43"/>
  <c r="N2" i="43"/>
  <c r="M3" i="43"/>
  <c r="N3" i="43"/>
  <c r="M4" i="43"/>
  <c r="N4" i="43"/>
  <c r="M5" i="43"/>
  <c r="N5" i="43"/>
  <c r="F93" i="43"/>
  <c r="H97"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G23" i="78" s="1"/>
  <c r="E22" i="78"/>
  <c r="G22" i="78" s="1"/>
  <c r="F12" i="78"/>
  <c r="F11" i="78"/>
  <c r="H100" i="43"/>
  <c r="H95" i="43"/>
  <c r="H98" i="43"/>
  <c r="H101" i="43"/>
  <c r="H96" i="43"/>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AH9" i="71"/>
  <c r="AG9" i="71"/>
  <c r="AE9" i="71"/>
  <c r="AF9" i="71" s="1"/>
  <c r="AD9" i="71"/>
  <c r="Q9" i="71"/>
  <c r="P9" i="71"/>
  <c r="O9" i="71"/>
  <c r="N9" i="71"/>
  <c r="AH10" i="71"/>
  <c r="AG10" i="71"/>
  <c r="AE10" i="71"/>
  <c r="AF10" i="71" s="1"/>
  <c r="AD10" i="71"/>
  <c r="Q10" i="71"/>
  <c r="P10" i="71"/>
  <c r="O10" i="71"/>
  <c r="N10" i="71"/>
  <c r="E24" i="43"/>
  <c r="Q32" i="43" s="1"/>
  <c r="P32" i="43"/>
  <c r="N32"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E23" i="71" s="1"/>
  <c r="E22" i="71" s="1"/>
  <c r="O24" i="71"/>
  <c r="C24" i="71"/>
  <c r="C23" i="71" s="1"/>
  <c r="Q25" i="71"/>
  <c r="P25" i="71"/>
  <c r="AA25" i="71" s="1"/>
  <c r="O25" i="71"/>
  <c r="N25"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c r="E111" i="9"/>
  <c r="A126" i="9"/>
  <c r="A12" i="52" s="1"/>
  <c r="B56" i="72" s="1"/>
  <c r="E109" i="9"/>
  <c r="A124" i="9"/>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D55"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s="1"/>
  <c r="P38" i="71"/>
  <c r="O38" i="71"/>
  <c r="Y38" i="71" s="1"/>
  <c r="Z38" i="71" s="1"/>
  <c r="N38" i="71"/>
  <c r="X38" i="71" s="1"/>
  <c r="Q37" i="71"/>
  <c r="F38" i="71" s="1"/>
  <c r="P37" i="71"/>
  <c r="O37" i="71"/>
  <c r="N37" i="71"/>
  <c r="D37" i="71"/>
  <c r="Q36" i="71"/>
  <c r="AB36" i="71" s="1"/>
  <c r="P36" i="71"/>
  <c r="AA36" i="71" s="1"/>
  <c r="O36" i="71"/>
  <c r="Y36" i="71" s="1"/>
  <c r="Z36" i="71" s="1"/>
  <c r="N36" i="71"/>
  <c r="Q35" i="71"/>
  <c r="P35" i="71"/>
  <c r="AA35" i="71" s="1"/>
  <c r="O35" i="71"/>
  <c r="Y35" i="71"/>
  <c r="Z35" i="71" s="1"/>
  <c r="N35" i="71"/>
  <c r="Q34" i="71"/>
  <c r="AB34" i="71" s="1"/>
  <c r="P34" i="71"/>
  <c r="O34" i="71"/>
  <c r="Y34" i="71" s="1"/>
  <c r="Z34" i="71" s="1"/>
  <c r="N34" i="71"/>
  <c r="X34" i="71" s="1"/>
  <c r="Q33" i="71"/>
  <c r="F34" i="71" s="1"/>
  <c r="F35" i="71" s="1"/>
  <c r="F36" i="71" s="1"/>
  <c r="V36" i="71" s="1"/>
  <c r="P33" i="71"/>
  <c r="E34" i="71" s="1"/>
  <c r="E35" i="71" s="1"/>
  <c r="E36" i="71" s="1"/>
  <c r="U36" i="71" s="1"/>
  <c r="O33" i="71"/>
  <c r="N33" i="71"/>
  <c r="B34" i="71" s="1"/>
  <c r="B35" i="71" s="1"/>
  <c r="B36" i="71" s="1"/>
  <c r="S36" i="71" s="1"/>
  <c r="D33" i="71"/>
  <c r="Q32" i="71"/>
  <c r="AB32" i="71" s="1"/>
  <c r="P32" i="71"/>
  <c r="O32" i="71"/>
  <c r="Y32" i="71" s="1"/>
  <c r="Z32" i="71" s="1"/>
  <c r="N32" i="71"/>
  <c r="X32" i="71" s="1"/>
  <c r="Q31" i="71"/>
  <c r="AB31" i="71"/>
  <c r="P31" i="71"/>
  <c r="O31" i="71"/>
  <c r="Y31" i="71" s="1"/>
  <c r="Z31" i="71" s="1"/>
  <c r="N31" i="71"/>
  <c r="Q30" i="71"/>
  <c r="P30" i="71"/>
  <c r="AA30" i="71"/>
  <c r="O30" i="71"/>
  <c r="Y30" i="71"/>
  <c r="Z30" i="71" s="1"/>
  <c r="N30" i="71"/>
  <c r="Q29" i="71"/>
  <c r="F30" i="71" s="1"/>
  <c r="P29" i="71"/>
  <c r="O29" i="71"/>
  <c r="C30" i="71" s="1"/>
  <c r="N29" i="71"/>
  <c r="X26" i="71" s="1"/>
  <c r="D29" i="71"/>
  <c r="O28" i="71"/>
  <c r="C28" i="71" s="1"/>
  <c r="N28" i="71"/>
  <c r="B30" i="71"/>
  <c r="B31" i="71" s="1"/>
  <c r="B32" i="71" s="1"/>
  <c r="S32" i="71" s="1"/>
  <c r="E38" i="71"/>
  <c r="E39" i="71" s="1"/>
  <c r="E40" i="71" s="1"/>
  <c r="U40" i="71" s="1"/>
  <c r="N68" i="71"/>
  <c r="X31" i="71"/>
  <c r="C34" i="71"/>
  <c r="C35" i="71" s="1"/>
  <c r="Y33" i="71"/>
  <c r="Z33" i="71" s="1"/>
  <c r="AA34" i="71"/>
  <c r="X36" i="71"/>
  <c r="C38" i="71"/>
  <c r="C39" i="71" s="1"/>
  <c r="Y37" i="71"/>
  <c r="Z37" i="71" s="1"/>
  <c r="AB37" i="71"/>
  <c r="AA38" i="71"/>
  <c r="B28" i="71"/>
  <c r="B27" i="71" s="1"/>
  <c r="B26" i="71" s="1"/>
  <c r="X28" i="71"/>
  <c r="D38" i="71"/>
  <c r="C51" i="71"/>
  <c r="D51" i="71" s="1"/>
  <c r="D50" i="71"/>
  <c r="P28" i="71"/>
  <c r="AA3" i="71"/>
  <c r="E59" i="71"/>
  <c r="E60" i="71"/>
  <c r="U60" i="71" s="1"/>
  <c r="Q65" i="71"/>
  <c r="U68" i="71"/>
  <c r="E67" i="71"/>
  <c r="E66" i="71" s="1"/>
  <c r="Q28" i="71"/>
  <c r="AB25" i="71" s="1"/>
  <c r="D54"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F28" i="71"/>
  <c r="F27" i="71" s="1"/>
  <c r="F26" i="71" s="1"/>
  <c r="AB26" i="71"/>
  <c r="AB28" i="71"/>
  <c r="E28" i="71"/>
  <c r="E27" i="71"/>
  <c r="E26" i="71" s="1"/>
  <c r="AA27" i="71"/>
  <c r="C66" i="71"/>
  <c r="D66" i="71" s="1"/>
  <c r="D75" i="71"/>
  <c r="C86" i="71"/>
  <c r="D86"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s="1"/>
  <c r="C22" i="20"/>
  <c r="B100" i="43" s="1"/>
  <c r="B68" i="43"/>
  <c r="S25" i="40"/>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s="1"/>
  <c r="E83" i="21"/>
  <c r="F83" i="21" s="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G8" i="1" s="1"/>
  <c r="A7" i="1"/>
  <c r="B7" i="1"/>
  <c r="E7" i="1" s="1"/>
  <c r="A8" i="1"/>
  <c r="B8" i="1" s="1"/>
  <c r="E8" i="1" s="1"/>
  <c r="A9" i="1"/>
  <c r="A10" i="1"/>
  <c r="A11" i="1"/>
  <c r="B11" i="1" s="1"/>
  <c r="E11" i="1" s="1"/>
  <c r="A12" i="1"/>
  <c r="A13" i="1"/>
  <c r="K13" i="1"/>
  <c r="M13" i="1" s="1"/>
  <c r="O13" i="1"/>
  <c r="P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H15" i="4"/>
  <c r="F9" i="1"/>
  <c r="G9" i="1" s="1"/>
  <c r="G15" i="4"/>
  <c r="F12" i="1"/>
  <c r="G12" i="1" s="1"/>
  <c r="F15" i="4"/>
  <c r="F11" i="1"/>
  <c r="G11" i="1" s="1"/>
  <c r="D15" i="4"/>
  <c r="F7" i="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c r="F100" i="39" s="1"/>
  <c r="D98" i="39"/>
  <c r="E98" i="39"/>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c r="U40" i="37" s="1"/>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G73" i="37" s="1"/>
  <c r="D71" i="37"/>
  <c r="H15" i="37"/>
  <c r="AB15" i="37" s="1"/>
  <c r="B68" i="37"/>
  <c r="H14" i="37" s="1"/>
  <c r="U14" i="37" s="1"/>
  <c r="B66" i="37"/>
  <c r="B64" i="37"/>
  <c r="H12" i="37" s="1"/>
  <c r="AB12" i="37" s="1"/>
  <c r="D63" i="37"/>
  <c r="E63" i="37" s="1"/>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H11" i="35"/>
  <c r="AB11" i="35" s="1"/>
  <c r="B61" i="35"/>
  <c r="B59" i="35"/>
  <c r="B131" i="34"/>
  <c r="B129" i="34"/>
  <c r="H46" i="34"/>
  <c r="AB46" i="34" s="1"/>
  <c r="B127" i="34"/>
  <c r="B99" i="34"/>
  <c r="H32" i="34" s="1"/>
  <c r="B97" i="34"/>
  <c r="B95" i="34"/>
  <c r="B93" i="34"/>
  <c r="B75" i="34"/>
  <c r="J14" i="34"/>
  <c r="B73" i="34"/>
  <c r="B71" i="34"/>
  <c r="B130" i="33"/>
  <c r="B128" i="33"/>
  <c r="H45" i="33" s="1"/>
  <c r="B126" i="33"/>
  <c r="H44" i="33" s="1"/>
  <c r="B98" i="33"/>
  <c r="J31" i="33"/>
  <c r="W31" i="33" s="1"/>
  <c r="B96" i="33"/>
  <c r="B94" i="33"/>
  <c r="J29" i="33" s="1"/>
  <c r="W29" i="33" s="1"/>
  <c r="B74" i="33"/>
  <c r="B72" i="33"/>
  <c r="J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I54" i="21"/>
  <c r="J54" i="21" s="1"/>
  <c r="D125" i="21"/>
  <c r="E125" i="21" s="1"/>
  <c r="D123" i="21"/>
  <c r="E123" i="21" s="1"/>
  <c r="F123" i="21" s="1"/>
  <c r="G123" i="21" s="1"/>
  <c r="H123" i="21" s="1"/>
  <c r="I123" i="21" s="1"/>
  <c r="J123" i="21" s="1"/>
  <c r="K123" i="21" s="1"/>
  <c r="L123" i="21" s="1"/>
  <c r="M123"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c r="F108" i="21" s="1"/>
  <c r="G108" i="21" s="1"/>
  <c r="H108" i="21" s="1"/>
  <c r="I108" i="21" s="1"/>
  <c r="J108" i="21" s="1"/>
  <c r="K108" i="21" s="1"/>
  <c r="L108" i="21" s="1"/>
  <c r="M108" i="21" s="1"/>
  <c r="D106" i="21"/>
  <c r="E106" i="21" s="1"/>
  <c r="F106" i="21" s="1"/>
  <c r="D101" i="21"/>
  <c r="E101" i="2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AB31" i="21" s="1"/>
  <c r="B96" i="21"/>
  <c r="H30" i="21" s="1"/>
  <c r="B94" i="21"/>
  <c r="J29" i="21" s="1"/>
  <c r="B92" i="21"/>
  <c r="H28" i="21" s="1"/>
  <c r="AB28" i="21" s="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8" i="21"/>
  <c r="U38" i="21" s="1"/>
  <c r="F38" i="21"/>
  <c r="S38" i="21" s="1"/>
  <c r="F39" i="21"/>
  <c r="AA39" i="21" s="1"/>
  <c r="H35" i="21"/>
  <c r="AB35" i="21" s="1"/>
  <c r="J8" i="21"/>
  <c r="AC8" i="21" s="1"/>
  <c r="H8" i="21"/>
  <c r="U8" i="21" s="1"/>
  <c r="H10" i="21"/>
  <c r="AB10" i="21" s="1"/>
  <c r="H39" i="21"/>
  <c r="U39" i="21"/>
  <c r="F35" i="21"/>
  <c r="AA35" i="21" s="1"/>
  <c r="J10" i="21"/>
  <c r="AC10" i="21" s="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s="1"/>
  <c r="H11" i="40"/>
  <c r="AB11" i="40" s="1"/>
  <c r="AB39" i="40"/>
  <c r="AA9" i="40"/>
  <c r="S34" i="40"/>
  <c r="W31" i="40"/>
  <c r="S38" i="40"/>
  <c r="F42" i="39"/>
  <c r="AA42" i="39"/>
  <c r="F41" i="39"/>
  <c r="S41" i="39"/>
  <c r="H40" i="39"/>
  <c r="AB40" i="39"/>
  <c r="H39" i="39"/>
  <c r="U39" i="39"/>
  <c r="S34" i="39"/>
  <c r="H34" i="39"/>
  <c r="U34" i="39" s="1"/>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s="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S41" i="33"/>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H27" i="21"/>
  <c r="AB27" i="21" s="1"/>
  <c r="F27" i="21"/>
  <c r="AA27" i="21" s="1"/>
  <c r="H13" i="33"/>
  <c r="U13" i="33" s="1"/>
  <c r="AC29" i="33"/>
  <c r="F31" i="33"/>
  <c r="W14" i="34"/>
  <c r="F32" i="34"/>
  <c r="U46" i="34"/>
  <c r="J46" i="34"/>
  <c r="J11" i="35"/>
  <c r="F11" i="35"/>
  <c r="S11" i="35" s="1"/>
  <c r="J26" i="36"/>
  <c r="W26" i="36" s="1"/>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H36" i="37"/>
  <c r="AB36" i="37" s="1"/>
  <c r="G107" i="37"/>
  <c r="H107" i="37" s="1"/>
  <c r="I107" i="37" s="1"/>
  <c r="J107" i="37" s="1"/>
  <c r="K107" i="37" s="1"/>
  <c r="L107" i="37" s="1"/>
  <c r="M107" i="37" s="1"/>
  <c r="J37" i="37"/>
  <c r="AC37" i="37" s="1"/>
  <c r="H37" i="37"/>
  <c r="U37" i="37" s="1"/>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s="1"/>
  <c r="H31" i="34"/>
  <c r="AB31" i="34" s="1"/>
  <c r="F31" i="34"/>
  <c r="S31" i="34" s="1"/>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s="1"/>
  <c r="H12" i="40"/>
  <c r="H30" i="40"/>
  <c r="AB30" i="40" s="1"/>
  <c r="F33" i="40"/>
  <c r="AA33" i="40" s="1"/>
  <c r="H33" i="40"/>
  <c r="J35" i="40"/>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U31" i="34"/>
  <c r="J36" i="37"/>
  <c r="AC36" i="37"/>
  <c r="J10" i="36"/>
  <c r="AC10" i="36" s="1"/>
  <c r="AB26" i="33"/>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AZ546" i="3" s="1"/>
  <c r="BA544" i="3"/>
  <c r="BA542" i="3"/>
  <c r="AZ542" i="3" s="1"/>
  <c r="BA540" i="3"/>
  <c r="BA538" i="3"/>
  <c r="BA536" i="3"/>
  <c r="AZ536" i="3" s="1"/>
  <c r="BA534" i="3"/>
  <c r="BA532" i="3"/>
  <c r="AZ532" i="3"/>
  <c r="BA530" i="3"/>
  <c r="BA520" i="3"/>
  <c r="BA514" i="3"/>
  <c r="BA512" i="3"/>
  <c r="AZ512" i="3" s="1"/>
  <c r="BA510" i="3"/>
  <c r="BA508" i="3"/>
  <c r="BA506" i="3"/>
  <c r="BA504" i="3"/>
  <c r="AZ504" i="3" s="1"/>
  <c r="BA502" i="3"/>
  <c r="BA500" i="3"/>
  <c r="BA498" i="3"/>
  <c r="BA496" i="3"/>
  <c r="BA494" i="3"/>
  <c r="AZ494" i="3" s="1"/>
  <c r="BA587" i="3"/>
  <c r="BA583" i="3"/>
  <c r="BA577" i="3"/>
  <c r="BA573" i="3"/>
  <c r="BA571" i="3"/>
  <c r="BA569" i="3"/>
  <c r="BA567" i="3"/>
  <c r="BA565" i="3"/>
  <c r="BA561" i="3"/>
  <c r="BA555" i="3"/>
  <c r="AZ555" i="3" s="1"/>
  <c r="BA553" i="3"/>
  <c r="BA549" i="3"/>
  <c r="BA547" i="3"/>
  <c r="BA545" i="3"/>
  <c r="BA543" i="3"/>
  <c r="BA541" i="3"/>
  <c r="BA537" i="3"/>
  <c r="BA533" i="3"/>
  <c r="BA529" i="3"/>
  <c r="BA525" i="3"/>
  <c r="BA519" i="3"/>
  <c r="BA515" i="3"/>
  <c r="BA513" i="3"/>
  <c r="BA511" i="3"/>
  <c r="BA507" i="3"/>
  <c r="BA505" i="3"/>
  <c r="BA503" i="3"/>
  <c r="BA501" i="3"/>
  <c r="BA499" i="3"/>
  <c r="BA497" i="3"/>
  <c r="BA495" i="3"/>
  <c r="BA493" i="3"/>
  <c r="G583" i="3"/>
  <c r="G579" i="3"/>
  <c r="G575" i="3"/>
  <c r="G573" i="3"/>
  <c r="G571" i="3"/>
  <c r="G569" i="3"/>
  <c r="G567" i="3"/>
  <c r="G563" i="3"/>
  <c r="BL558" i="3"/>
  <c r="BA557" i="3"/>
  <c r="AZ557" i="3" s="1"/>
  <c r="AC557" i="3"/>
  <c r="G557" i="3" s="1"/>
  <c r="BQ557" i="3"/>
  <c r="BL557" i="3" s="1"/>
  <c r="BQ583" i="3"/>
  <c r="BL583" i="3" s="1"/>
  <c r="BQ581" i="3"/>
  <c r="BQ579" i="3"/>
  <c r="BQ577" i="3"/>
  <c r="BL577" i="3" s="1"/>
  <c r="BQ575" i="3"/>
  <c r="BQ573" i="3"/>
  <c r="BL573" i="3" s="1"/>
  <c r="BQ571" i="3"/>
  <c r="BL571" i="3" s="1"/>
  <c r="BQ569" i="3"/>
  <c r="BL569" i="3" s="1"/>
  <c r="BQ567" i="3"/>
  <c r="BL567" i="3" s="1"/>
  <c r="AZ567" i="3" s="1"/>
  <c r="BQ565" i="3"/>
  <c r="BL565" i="3" s="1"/>
  <c r="BQ563" i="3"/>
  <c r="BQ561" i="3"/>
  <c r="BQ559" i="3"/>
  <c r="BL559" i="3" s="1"/>
  <c r="G559" i="3"/>
  <c r="G555" i="3"/>
  <c r="G553" i="3"/>
  <c r="G547" i="3"/>
  <c r="G545" i="3"/>
  <c r="G543" i="3"/>
  <c r="G539" i="3"/>
  <c r="BQ555" i="3"/>
  <c r="BL555" i="3" s="1"/>
  <c r="BQ553" i="3"/>
  <c r="BL553" i="3" s="1"/>
  <c r="AZ553" i="3" s="1"/>
  <c r="BQ551" i="3"/>
  <c r="BQ549" i="3"/>
  <c r="BQ547" i="3"/>
  <c r="BL547" i="3" s="1"/>
  <c r="AZ547" i="3" s="1"/>
  <c r="BQ545" i="3"/>
  <c r="BL545" i="3"/>
  <c r="BQ543" i="3"/>
  <c r="BL543" i="3" s="1"/>
  <c r="AZ543" i="3" s="1"/>
  <c r="BQ541" i="3"/>
  <c r="BQ539" i="3"/>
  <c r="BL539" i="3" s="1"/>
  <c r="BQ537" i="3"/>
  <c r="BQ535" i="3"/>
  <c r="BL535" i="3"/>
  <c r="BQ533" i="3"/>
  <c r="BQ531" i="3"/>
  <c r="BL531" i="3" s="1"/>
  <c r="BQ529" i="3"/>
  <c r="BQ527" i="3"/>
  <c r="BL527" i="3" s="1"/>
  <c r="BQ525" i="3"/>
  <c r="BQ523" i="3"/>
  <c r="BL523" i="3" s="1"/>
  <c r="BA521" i="3"/>
  <c r="AC521"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c r="AZ505" i="3" s="1"/>
  <c r="BQ503" i="3"/>
  <c r="BL503" i="3" s="1"/>
  <c r="BQ501" i="3"/>
  <c r="BL501" i="3" s="1"/>
  <c r="BQ499" i="3"/>
  <c r="BL499" i="3" s="1"/>
  <c r="AZ499" i="3" s="1"/>
  <c r="BQ497" i="3"/>
  <c r="BL497" i="3" s="1"/>
  <c r="BQ495" i="3"/>
  <c r="BL495" i="3" s="1"/>
  <c r="BQ493" i="3"/>
  <c r="BQ5" i="3" s="1"/>
  <c r="F28" i="6"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c r="J43" i="33"/>
  <c r="AC43" i="33"/>
  <c r="S28" i="31"/>
  <c r="S27" i="31"/>
  <c r="S26" i="31"/>
  <c r="U14" i="40"/>
  <c r="AB28" i="37"/>
  <c r="U33" i="37"/>
  <c r="U39" i="37"/>
  <c r="W26" i="37"/>
  <c r="AC36" i="34"/>
  <c r="AC31" i="33"/>
  <c r="W44" i="33"/>
  <c r="U11" i="33"/>
  <c r="U19" i="21"/>
  <c r="AC46" i="21"/>
  <c r="AB38" i="21"/>
  <c r="F43" i="33"/>
  <c r="AA43" i="33" s="1"/>
  <c r="W15" i="34"/>
  <c r="W16" i="35"/>
  <c r="H37" i="21"/>
  <c r="U37" i="21" s="1"/>
  <c r="H19" i="34"/>
  <c r="AB19" i="34" s="1"/>
  <c r="F36" i="35"/>
  <c r="S36" i="35" s="1"/>
  <c r="H9" i="37"/>
  <c r="U9" i="37" s="1"/>
  <c r="J12" i="37"/>
  <c r="F12" i="37"/>
  <c r="S12" i="37" s="1"/>
  <c r="E71" i="37"/>
  <c r="F71" i="37" s="1"/>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c r="B16" i="53"/>
  <c r="B33" i="72"/>
  <c r="C7" i="37"/>
  <c r="C7" i="34"/>
  <c r="C7" i="36"/>
  <c r="A118" i="9"/>
  <c r="A4" i="52"/>
  <c r="B41" i="72"/>
  <c r="J11" i="39"/>
  <c r="F11" i="39"/>
  <c r="AA11" i="39" s="1"/>
  <c r="G4" i="4"/>
  <c r="I4" i="4"/>
  <c r="A2" i="9"/>
  <c r="F61" i="43"/>
  <c r="H64" i="43" s="1"/>
  <c r="BL549" i="3"/>
  <c r="AZ549" i="3" s="1"/>
  <c r="AZ502"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c r="BL124" i="3"/>
  <c r="G125" i="3"/>
  <c r="BA127" i="3"/>
  <c r="AZ127" i="3" s="1"/>
  <c r="BL128" i="3"/>
  <c r="AZ128" i="3" s="1"/>
  <c r="G129" i="3"/>
  <c r="BA131" i="3"/>
  <c r="AZ131" i="3" s="1"/>
  <c r="BL132" i="3"/>
  <c r="G133" i="3"/>
  <c r="BA135" i="3"/>
  <c r="BL136" i="3"/>
  <c r="G137" i="3"/>
  <c r="BA139" i="3"/>
  <c r="BL140" i="3"/>
  <c r="AZ140" i="3" s="1"/>
  <c r="G141" i="3"/>
  <c r="BA143" i="3"/>
  <c r="AZ143" i="3" s="1"/>
  <c r="BL144" i="3"/>
  <c r="AZ144" i="3" s="1"/>
  <c r="G145" i="3"/>
  <c r="BA147" i="3"/>
  <c r="AZ147" i="3" s="1"/>
  <c r="BL148" i="3"/>
  <c r="AZ148" i="3" s="1"/>
  <c r="G149" i="3"/>
  <c r="BA151" i="3"/>
  <c r="AZ151" i="3"/>
  <c r="BL152" i="3"/>
  <c r="G153" i="3"/>
  <c r="BA155" i="3"/>
  <c r="AZ155" i="3" s="1"/>
  <c r="BL156" i="3"/>
  <c r="G157" i="3"/>
  <c r="BA159" i="3"/>
  <c r="BL160" i="3"/>
  <c r="G161" i="3"/>
  <c r="BA163" i="3"/>
  <c r="BL164" i="3"/>
  <c r="G165" i="3"/>
  <c r="BA167" i="3"/>
  <c r="AZ167" i="3" s="1"/>
  <c r="BL168" i="3"/>
  <c r="G169" i="3"/>
  <c r="BA171" i="3"/>
  <c r="BL172" i="3"/>
  <c r="AZ172" i="3" s="1"/>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c r="G197" i="3"/>
  <c r="BA199" i="3"/>
  <c r="AZ199" i="3" s="1"/>
  <c r="BL200" i="3"/>
  <c r="G201" i="3"/>
  <c r="BA203" i="3"/>
  <c r="AZ203" i="3" s="1"/>
  <c r="BL204" i="3"/>
  <c r="AZ39" i="3"/>
  <c r="AZ47" i="3"/>
  <c r="AZ71" i="3"/>
  <c r="AZ79" i="3"/>
  <c r="AZ136" i="3"/>
  <c r="AZ93" i="3"/>
  <c r="AZ109"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4" i="3"/>
  <c r="AZ186" i="3"/>
  <c r="AZ202" i="3"/>
  <c r="AZ206" i="3"/>
  <c r="AZ500" i="3"/>
  <c r="BA16" i="3"/>
  <c r="BL303" i="3"/>
  <c r="AZ303" i="3" s="1"/>
  <c r="G304" i="3"/>
  <c r="BA306" i="3"/>
  <c r="AZ306" i="3" s="1"/>
  <c r="BL307" i="3"/>
  <c r="AZ307" i="3" s="1"/>
  <c r="G308" i="3"/>
  <c r="BA310" i="3"/>
  <c r="AZ310" i="3" s="1"/>
  <c r="BL311" i="3"/>
  <c r="G312" i="3"/>
  <c r="BA314" i="3"/>
  <c r="AZ314" i="3" s="1"/>
  <c r="BL315" i="3"/>
  <c r="G316" i="3"/>
  <c r="BA318" i="3"/>
  <c r="AZ318" i="3" s="1"/>
  <c r="BL319" i="3"/>
  <c r="G320" i="3"/>
  <c r="BA322" i="3"/>
  <c r="AZ322" i="3"/>
  <c r="BL323" i="3"/>
  <c r="G324" i="3"/>
  <c r="BA326" i="3"/>
  <c r="AZ326" i="3" s="1"/>
  <c r="BL327" i="3"/>
  <c r="G328" i="3"/>
  <c r="BA330" i="3"/>
  <c r="AZ330" i="3" s="1"/>
  <c r="BL331" i="3"/>
  <c r="G332" i="3"/>
  <c r="BA334" i="3"/>
  <c r="BL335" i="3"/>
  <c r="AZ335" i="3"/>
  <c r="G336" i="3"/>
  <c r="BA338" i="3"/>
  <c r="AZ338" i="3" s="1"/>
  <c r="BL339" i="3"/>
  <c r="AZ339" i="3" s="1"/>
  <c r="G340" i="3"/>
  <c r="BL343" i="3"/>
  <c r="G344" i="3"/>
  <c r="G348" i="3"/>
  <c r="G355" i="3"/>
  <c r="G342" i="3"/>
  <c r="BL345" i="3"/>
  <c r="AZ345" i="3"/>
  <c r="G346" i="3"/>
  <c r="AZ348"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241"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496" i="3"/>
  <c r="G548" i="3"/>
  <c r="G538" i="3"/>
  <c r="G520" i="3"/>
  <c r="G502" i="3"/>
  <c r="BP5" i="3"/>
  <c r="BI5" i="3"/>
  <c r="BE5" i="3"/>
  <c r="G17" i="3"/>
  <c r="BA17" i="3"/>
  <c r="BT5" i="3"/>
  <c r="BA15" i="3"/>
  <c r="BR5" i="3"/>
  <c r="AZ384" i="3"/>
  <c r="AZ392" i="3"/>
  <c r="AZ394" i="3"/>
  <c r="BL493" i="3"/>
  <c r="U36" i="40"/>
  <c r="F83" i="43"/>
  <c r="H85" i="43" s="1"/>
  <c r="F50" i="43"/>
  <c r="H54" i="43" s="1"/>
  <c r="F72" i="43"/>
  <c r="H75" i="43" s="1"/>
  <c r="U17" i="39"/>
  <c r="S14" i="35"/>
  <c r="U35" i="21"/>
  <c r="G10" i="1"/>
  <c r="W37" i="37"/>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32" i="3"/>
  <c r="AZ29" i="3"/>
  <c r="AZ31" i="3"/>
  <c r="AZ33" i="3"/>
  <c r="AZ37" i="3"/>
  <c r="AZ45" i="3"/>
  <c r="AZ50" i="3"/>
  <c r="AZ77" i="3"/>
  <c r="AZ82" i="3"/>
  <c r="AZ86" i="3"/>
  <c r="F23" i="39"/>
  <c r="AA23" i="39" s="1"/>
  <c r="H27" i="36"/>
  <c r="U27" i="36" s="1"/>
  <c r="F27" i="36"/>
  <c r="AA27" i="36" s="1"/>
  <c r="H33" i="34"/>
  <c r="U33" i="34" s="1"/>
  <c r="F32" i="37"/>
  <c r="F20" i="36"/>
  <c r="AA20" i="36" s="1"/>
  <c r="J33" i="34"/>
  <c r="AC33" i="34" s="1"/>
  <c r="H23" i="39"/>
  <c r="U23" i="39" s="1"/>
  <c r="D48" i="9"/>
  <c r="M52" i="9" s="1"/>
  <c r="K9" i="1"/>
  <c r="M9" i="1" s="1"/>
  <c r="D93" i="9"/>
  <c r="K6" i="1"/>
  <c r="AP6" i="1"/>
  <c r="AC26" i="33"/>
  <c r="W27" i="34"/>
  <c r="AB34" i="36"/>
  <c r="U34" i="36"/>
  <c r="AB33" i="36"/>
  <c r="U33" i="36"/>
  <c r="W12" i="39"/>
  <c r="AC39" i="40"/>
  <c r="W39" i="40"/>
  <c r="AZ412" i="3"/>
  <c r="AZ465" i="3"/>
  <c r="W12" i="33"/>
  <c r="AA32" i="36"/>
  <c r="S32" i="36"/>
  <c r="AZ437" i="3"/>
  <c r="AZ490" i="3"/>
  <c r="BL14" i="3"/>
  <c r="U30" i="33"/>
  <c r="AC13" i="34"/>
  <c r="W28" i="37"/>
  <c r="S19" i="39"/>
  <c r="F12" i="33"/>
  <c r="H12" i="39"/>
  <c r="AB12" i="39" s="1"/>
  <c r="F39" i="40"/>
  <c r="BA14" i="3"/>
  <c r="AZ14" i="3"/>
  <c r="AZ213" i="3"/>
  <c r="AZ234" i="3"/>
  <c r="AZ250" i="3"/>
  <c r="AZ281" i="3"/>
  <c r="AZ165" i="3"/>
  <c r="AZ181"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S30" i="40"/>
  <c r="S28" i="40"/>
  <c r="AA27" i="40"/>
  <c r="U21"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AA12" i="39"/>
  <c r="S9" i="39"/>
  <c r="U14" i="39"/>
  <c r="AC13" i="39"/>
  <c r="U12" i="39"/>
  <c r="U26" i="36"/>
  <c r="S33" i="36"/>
  <c r="AA34" i="36"/>
  <c r="AC26" i="36"/>
  <c r="AA22" i="36"/>
  <c r="W14" i="36"/>
  <c r="AB14" i="36"/>
  <c r="U22" i="36"/>
  <c r="S16" i="36"/>
  <c r="S24" i="36"/>
  <c r="U24" i="36"/>
  <c r="U16"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AC29" i="37"/>
  <c r="U29" i="37"/>
  <c r="AB31" i="37"/>
  <c r="W30" i="37"/>
  <c r="S36" i="37"/>
  <c r="AA38" i="37"/>
  <c r="U32" i="37"/>
  <c r="W38" i="37"/>
  <c r="AC35" i="37"/>
  <c r="W39" i="37"/>
  <c r="S30" i="37"/>
  <c r="AC15" i="37"/>
  <c r="J17" i="37"/>
  <c r="W17" i="37" s="1"/>
  <c r="F17" i="37"/>
  <c r="AA17" i="37" s="1"/>
  <c r="F75" i="37"/>
  <c r="F19" i="37"/>
  <c r="F79" i="37"/>
  <c r="F23" i="37"/>
  <c r="S23" i="37" s="1"/>
  <c r="U23" i="37"/>
  <c r="U15" i="37"/>
  <c r="AC13" i="37"/>
  <c r="AA13" i="37"/>
  <c r="H10" i="37"/>
  <c r="AB10" i="37" s="1"/>
  <c r="F11" i="37"/>
  <c r="S11" i="37" s="1"/>
  <c r="W25" i="34"/>
  <c r="AB8" i="34"/>
  <c r="AA33" i="34"/>
  <c r="U43" i="34"/>
  <c r="AC39" i="34"/>
  <c r="W41" i="34"/>
  <c r="AC42" i="34"/>
  <c r="AB35" i="34"/>
  <c r="U39" i="34"/>
  <c r="S43" i="34"/>
  <c r="AA25"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1" i="21"/>
  <c r="AB39" i="21"/>
  <c r="S39" i="21"/>
  <c r="AA38" i="21"/>
  <c r="J15" i="21"/>
  <c r="W15" i="21" s="1"/>
  <c r="F77" i="21"/>
  <c r="G77" i="21" s="1"/>
  <c r="F23" i="21"/>
  <c r="S23" i="21" s="1"/>
  <c r="E85" i="21"/>
  <c r="D120" i="9"/>
  <c r="D121" i="9" s="1"/>
  <c r="D7" i="52" s="1"/>
  <c r="C18" i="9"/>
  <c r="D18" i="9" s="1"/>
  <c r="F34" i="67"/>
  <c r="F62" i="67" s="1"/>
  <c r="M20" i="67"/>
  <c r="F34" i="15"/>
  <c r="F62" i="15"/>
  <c r="G13" i="3"/>
  <c r="BA13" i="3"/>
  <c r="BL17" i="3"/>
  <c r="AZ17" i="3"/>
  <c r="BL13" i="3"/>
  <c r="J56" i="9"/>
  <c r="J57" i="9" s="1"/>
  <c r="J59" i="9" s="1"/>
  <c r="J61" i="9" s="1"/>
  <c r="A24" i="51"/>
  <c r="B18" i="72" s="1"/>
  <c r="E32" i="6"/>
  <c r="G1" i="68"/>
  <c r="K1" i="12"/>
  <c r="E19" i="69"/>
  <c r="E19" i="11"/>
  <c r="G22" i="69"/>
  <c r="G26" i="12"/>
  <c r="C6" i="43"/>
  <c r="B19" i="53"/>
  <c r="B37" i="72" s="1"/>
  <c r="C7" i="39"/>
  <c r="C67" i="39" s="1"/>
  <c r="C69" i="39" s="1"/>
  <c r="C7" i="35"/>
  <c r="C7" i="33"/>
  <c r="C7" i="21"/>
  <c r="C7" i="40"/>
  <c r="C63" i="40" s="1"/>
  <c r="M47" i="9"/>
  <c r="G23" i="43"/>
  <c r="C46" i="36"/>
  <c r="D46" i="36"/>
  <c r="E46" i="36" s="1"/>
  <c r="C52" i="37"/>
  <c r="D52" i="37" s="1"/>
  <c r="A4" i="51"/>
  <c r="B6" i="72" s="1"/>
  <c r="C48" i="35"/>
  <c r="D48" i="35" s="1"/>
  <c r="H67" i="43"/>
  <c r="L20" i="6"/>
  <c r="B6" i="1"/>
  <c r="E6" i="1" s="1"/>
  <c r="K11" i="1"/>
  <c r="M11" i="1" s="1"/>
  <c r="O11" i="1"/>
  <c r="B9" i="1"/>
  <c r="E9" i="1" s="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c r="AB46" i="21"/>
  <c r="U40" i="21"/>
  <c r="U31" i="21"/>
  <c r="S35" i="21"/>
  <c r="J37" i="21"/>
  <c r="W37" i="21"/>
  <c r="H15" i="21"/>
  <c r="U15" i="21" s="1"/>
  <c r="J17" i="21"/>
  <c r="AC17" i="21" s="1"/>
  <c r="AC19" i="21"/>
  <c r="W39" i="21"/>
  <c r="AC14" i="21"/>
  <c r="S46" i="21"/>
  <c r="H45" i="21"/>
  <c r="U45" i="21" s="1"/>
  <c r="F29" i="21"/>
  <c r="S29" i="21" s="1"/>
  <c r="H32" i="21"/>
  <c r="U32" i="21" s="1"/>
  <c r="H9" i="21"/>
  <c r="J9" i="21"/>
  <c r="W9" i="21" s="1"/>
  <c r="J32" i="21"/>
  <c r="W32" i="21" s="1"/>
  <c r="F32" i="21"/>
  <c r="S32" i="21" s="1"/>
  <c r="S9" i="21"/>
  <c r="AA9" i="21"/>
  <c r="K141" i="21"/>
  <c r="K144" i="21"/>
  <c r="K143" i="21"/>
  <c r="AB25" i="21"/>
  <c r="AB44" i="21"/>
  <c r="AC45" i="21"/>
  <c r="F10" i="21"/>
  <c r="AA10" i="21" s="1"/>
  <c r="K145" i="21"/>
  <c r="W17" i="21"/>
  <c r="W25" i="21"/>
  <c r="W30" i="40"/>
  <c r="C19" i="39"/>
  <c r="C15" i="40"/>
  <c r="C17" i="40"/>
  <c r="C23" i="40"/>
  <c r="C21" i="40"/>
  <c r="U30" i="40"/>
  <c r="B56" i="43"/>
  <c r="B67" i="43"/>
  <c r="B51" i="43"/>
  <c r="B54" i="43"/>
  <c r="B58" i="43"/>
  <c r="B62" i="43"/>
  <c r="B65" i="43"/>
  <c r="B69" i="43"/>
  <c r="D23" i="15"/>
  <c r="D22" i="15"/>
  <c r="E4" i="4"/>
  <c r="B5" i="62" s="1"/>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AC23" i="37" s="1"/>
  <c r="G79" i="37"/>
  <c r="J10" i="37"/>
  <c r="W10" i="37" s="1"/>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s="1"/>
  <c r="F17" i="33"/>
  <c r="S17" i="33" s="1"/>
  <c r="W17" i="33"/>
  <c r="AC17" i="33"/>
  <c r="S37" i="21"/>
  <c r="J23" i="21"/>
  <c r="W23" i="21" s="1"/>
  <c r="F85" i="21"/>
  <c r="G85" i="21" s="1"/>
  <c r="H23" i="21"/>
  <c r="D6" i="52"/>
  <c r="AP7" i="1"/>
  <c r="AB45" i="21"/>
  <c r="AB9" i="21"/>
  <c r="U9" i="21"/>
  <c r="A18" i="62"/>
  <c r="B64" i="72" s="1"/>
  <c r="U32" i="39"/>
  <c r="AC32" i="39"/>
  <c r="W32" i="39"/>
  <c r="AC19" i="37"/>
  <c r="W23" i="37"/>
  <c r="H63" i="37"/>
  <c r="I63" i="37" s="1"/>
  <c r="J63" i="37" s="1"/>
  <c r="K63" i="37" s="1"/>
  <c r="L63" i="37" s="1"/>
  <c r="M63" i="37" s="1"/>
  <c r="J11" i="37"/>
  <c r="AC11" i="37" s="1"/>
  <c r="J11" i="34"/>
  <c r="W11" i="34" s="1"/>
  <c r="AB36" i="33"/>
  <c r="W27" i="33"/>
  <c r="AC27" i="33"/>
  <c r="W25" i="33"/>
  <c r="AC25" i="33"/>
  <c r="AB19" i="33"/>
  <c r="AA17" i="33"/>
  <c r="U17" i="33"/>
  <c r="AC23" i="21"/>
  <c r="H109" i="9"/>
  <c r="M49" i="9"/>
  <c r="H112" i="9"/>
  <c r="D21" i="53"/>
  <c r="B39" i="72" s="1"/>
  <c r="H111" i="9"/>
  <c r="D126" i="9" s="1"/>
  <c r="AD3" i="71"/>
  <c r="J1" i="73"/>
  <c r="H69" i="43"/>
  <c r="H50" i="43"/>
  <c r="C22" i="71"/>
  <c r="D23" i="71"/>
  <c r="D24" i="71"/>
  <c r="U24" i="71" s="1"/>
  <c r="S24" i="71"/>
  <c r="T24" i="71"/>
  <c r="AB22" i="71"/>
  <c r="X20" i="71"/>
  <c r="X19" i="71"/>
  <c r="AA20" i="71"/>
  <c r="AA19" i="71"/>
  <c r="X23" i="71"/>
  <c r="Y19" i="71"/>
  <c r="Z19" i="71" s="1"/>
  <c r="AB20" i="71"/>
  <c r="AB19" i="71"/>
  <c r="S20" i="71"/>
  <c r="Y20" i="71"/>
  <c r="Z20" i="71" s="1"/>
  <c r="X3" i="71"/>
  <c r="E21" i="71"/>
  <c r="E20" i="71" s="1"/>
  <c r="AC12" i="36"/>
  <c r="W12" i="36"/>
  <c r="AB40" i="40"/>
  <c r="U40" i="40"/>
  <c r="AA32" i="37"/>
  <c r="S32" i="37"/>
  <c r="AC12" i="40"/>
  <c r="W12" i="40"/>
  <c r="AZ373" i="3"/>
  <c r="AZ371" i="3"/>
  <c r="AZ577" i="3"/>
  <c r="AZ582" i="3"/>
  <c r="BN5" i="3"/>
  <c r="BA581" i="3"/>
  <c r="BA580" i="3"/>
  <c r="AZ580" i="3" s="1"/>
  <c r="BA579" i="3"/>
  <c r="BL578" i="3"/>
  <c r="BA578" i="3"/>
  <c r="BL576" i="3"/>
  <c r="BA576" i="3"/>
  <c r="BA575" i="3"/>
  <c r="BA574" i="3"/>
  <c r="AZ574" i="3" s="1"/>
  <c r="BA564" i="3"/>
  <c r="AZ564" i="3" s="1"/>
  <c r="BA563" i="3"/>
  <c r="BL562" i="3"/>
  <c r="BA562" i="3"/>
  <c r="BL560" i="3"/>
  <c r="BA560" i="3"/>
  <c r="BA559" i="3"/>
  <c r="BA551" i="3"/>
  <c r="BL550" i="3"/>
  <c r="BA550" i="3"/>
  <c r="B1" i="74"/>
  <c r="B14" i="74" s="1"/>
  <c r="C41" i="21"/>
  <c r="U41" i="21"/>
  <c r="P3" i="81"/>
  <c r="BL15" i="3"/>
  <c r="AZ15" i="3"/>
  <c r="U35" i="40"/>
  <c r="AC34" i="33"/>
  <c r="AA39" i="34"/>
  <c r="AZ16" i="3"/>
  <c r="AZ390" i="3"/>
  <c r="AZ382" i="3"/>
  <c r="AZ364" i="3"/>
  <c r="AZ329" i="3"/>
  <c r="AZ380" i="3"/>
  <c r="AZ341" i="3"/>
  <c r="AZ325" i="3"/>
  <c r="AZ309" i="3"/>
  <c r="AB13" i="34"/>
  <c r="W14" i="37"/>
  <c r="AZ571" i="3"/>
  <c r="AZ498" i="3"/>
  <c r="AZ510" i="3"/>
  <c r="AZ514" i="3"/>
  <c r="S44" i="34"/>
  <c r="S11" i="36"/>
  <c r="U46" i="33"/>
  <c r="AA29" i="35"/>
  <c r="U33" i="35"/>
  <c r="W39" i="33"/>
  <c r="U33" i="33"/>
  <c r="J40" i="21"/>
  <c r="W40" i="21"/>
  <c r="BL586" i="3"/>
  <c r="BA586" i="3"/>
  <c r="AZ586" i="3" s="1"/>
  <c r="BS5" i="3"/>
  <c r="BO5" i="3"/>
  <c r="F29" i="6"/>
  <c r="BL585" i="3"/>
  <c r="AZ585" i="3"/>
  <c r="BJ5" i="3"/>
  <c r="BF5" i="3"/>
  <c r="BB5" i="3"/>
  <c r="E5" i="6"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s="1"/>
  <c r="BA527" i="3"/>
  <c r="G527" i="3"/>
  <c r="BA526" i="3"/>
  <c r="AZ526" i="3" s="1"/>
  <c r="G525" i="3"/>
  <c r="BA524" i="3"/>
  <c r="AZ524" i="3" s="1"/>
  <c r="BA523" i="3"/>
  <c r="AZ523" i="3" s="1"/>
  <c r="BL522" i="3"/>
  <c r="BA522" i="3"/>
  <c r="BL518" i="3"/>
  <c r="BA518" i="3"/>
  <c r="AZ518" i="3" s="1"/>
  <c r="G518" i="3"/>
  <c r="BA517" i="3"/>
  <c r="AZ517" i="3" s="1"/>
  <c r="BA516" i="3"/>
  <c r="AZ516" i="3" s="1"/>
  <c r="G14" i="3"/>
  <c r="G399" i="3"/>
  <c r="BL399" i="3"/>
  <c r="AZ399" i="3" s="1"/>
  <c r="BA400" i="3"/>
  <c r="BA401" i="3"/>
  <c r="AZ401" i="3"/>
  <c r="BA402" i="3"/>
  <c r="AZ402" i="3"/>
  <c r="BL402" i="3"/>
  <c r="G404" i="3"/>
  <c r="BL404" i="3"/>
  <c r="BA405" i="3"/>
  <c r="AZ405" i="3" s="1"/>
  <c r="BA406" i="3"/>
  <c r="BL406" i="3"/>
  <c r="BA407" i="3"/>
  <c r="BA408" i="3"/>
  <c r="AZ408" i="3" s="1"/>
  <c r="G411" i="3"/>
  <c r="BL411" i="3"/>
  <c r="G414" i="3"/>
  <c r="BL414" i="3"/>
  <c r="AZ414" i="3" s="1"/>
  <c r="BA415" i="3"/>
  <c r="AZ415" i="3" s="1"/>
  <c r="AZ442" i="3"/>
  <c r="AZ458" i="3"/>
  <c r="AZ462" i="3"/>
  <c r="AZ469" i="3"/>
  <c r="BL417" i="3"/>
  <c r="AZ417" i="3" s="1"/>
  <c r="G419" i="3"/>
  <c r="G421" i="3"/>
  <c r="BL421" i="3"/>
  <c r="AZ421" i="3" s="1"/>
  <c r="G423" i="3"/>
  <c r="BL423" i="3"/>
  <c r="AZ423" i="3"/>
  <c r="BA424" i="3"/>
  <c r="AZ424" i="3"/>
  <c r="G427" i="3"/>
  <c r="BL427" i="3"/>
  <c r="AZ427" i="3" s="1"/>
  <c r="G430" i="3"/>
  <c r="BL430" i="3"/>
  <c r="AZ430" i="3" s="1"/>
  <c r="BA431" i="3"/>
  <c r="BL433" i="3"/>
  <c r="AZ433" i="3" s="1"/>
  <c r="G435" i="3"/>
  <c r="G437" i="3"/>
  <c r="G438" i="3"/>
  <c r="G440" i="3"/>
  <c r="BL440" i="3"/>
  <c r="AZ440" i="3" s="1"/>
  <c r="BA443" i="3"/>
  <c r="BL443" i="3"/>
  <c r="BA444" i="3"/>
  <c r="AZ444" i="3"/>
  <c r="BL444" i="3"/>
  <c r="G446" i="3"/>
  <c r="BA447" i="3"/>
  <c r="AZ447" i="3"/>
  <c r="BA449" i="3"/>
  <c r="AZ449" i="3"/>
  <c r="BA450" i="3"/>
  <c r="BL450" i="3"/>
  <c r="AZ450" i="3" s="1"/>
  <c r="G452" i="3"/>
  <c r="BL452" i="3"/>
  <c r="G454" i="3"/>
  <c r="G456" i="3"/>
  <c r="BL456" i="3"/>
  <c r="AZ456" i="3"/>
  <c r="BA459" i="3"/>
  <c r="AZ459" i="3"/>
  <c r="BL459" i="3"/>
  <c r="BA460" i="3"/>
  <c r="AZ460" i="3" s="1"/>
  <c r="G465" i="3"/>
  <c r="G466" i="3"/>
  <c r="BL466" i="3"/>
  <c r="AZ466" i="3" s="1"/>
  <c r="BA467" i="3"/>
  <c r="AZ467" i="3" s="1"/>
  <c r="G472" i="3"/>
  <c r="BL472" i="3"/>
  <c r="AZ472" i="3" s="1"/>
  <c r="G475" i="3"/>
  <c r="BL475" i="3"/>
  <c r="BA476" i="3"/>
  <c r="AZ476" i="3" s="1"/>
  <c r="BA477" i="3"/>
  <c r="BL477" i="3"/>
  <c r="BA478" i="3"/>
  <c r="AZ478" i="3"/>
  <c r="G481" i="3"/>
  <c r="G483" i="3"/>
  <c r="BL483" i="3"/>
  <c r="BA484" i="3"/>
  <c r="AZ484" i="3"/>
  <c r="G487" i="3"/>
  <c r="G489" i="3"/>
  <c r="BL489" i="3"/>
  <c r="AZ489" i="3"/>
  <c r="BL491" i="3"/>
  <c r="AZ491" i="3"/>
  <c r="BA492" i="3"/>
  <c r="AZ492" i="3"/>
  <c r="G313" i="3"/>
  <c r="BA315" i="3"/>
  <c r="AZ315" i="3" s="1"/>
  <c r="BL316" i="3"/>
  <c r="G318" i="3"/>
  <c r="G329" i="3"/>
  <c r="BA331" i="3"/>
  <c r="AZ331" i="3" s="1"/>
  <c r="BL332" i="3"/>
  <c r="AZ332" i="3" s="1"/>
  <c r="G334" i="3"/>
  <c r="BL346" i="3"/>
  <c r="AZ346" i="3"/>
  <c r="G349" i="3"/>
  <c r="BA350" i="3"/>
  <c r="AZ350" i="3" s="1"/>
  <c r="BL353" i="3"/>
  <c r="AZ353" i="3" s="1"/>
  <c r="G362" i="3"/>
  <c r="G366" i="3"/>
  <c r="BA367" i="3"/>
  <c r="AZ367" i="3" s="1"/>
  <c r="BA370" i="3"/>
  <c r="AZ370" i="3" s="1"/>
  <c r="BA374" i="3"/>
  <c r="AZ374" i="3" s="1"/>
  <c r="G380" i="3"/>
  <c r="G384" i="3"/>
  <c r="BA386" i="3"/>
  <c r="G396" i="3"/>
  <c r="G397" i="3"/>
  <c r="BL397" i="3"/>
  <c r="AZ397" i="3" s="1"/>
  <c r="BA208" i="3"/>
  <c r="BA209" i="3"/>
  <c r="AZ209" i="3" s="1"/>
  <c r="G212" i="3"/>
  <c r="BL212" i="3"/>
  <c r="BL214" i="3"/>
  <c r="AZ214" i="3" s="1"/>
  <c r="G217" i="3"/>
  <c r="BL217" i="3"/>
  <c r="AZ217" i="3" s="1"/>
  <c r="G220" i="3"/>
  <c r="BL220" i="3"/>
  <c r="AZ220" i="3"/>
  <c r="BA221" i="3"/>
  <c r="BA222" i="3"/>
  <c r="AZ222" i="3"/>
  <c r="BA223" i="3"/>
  <c r="BA224" i="3"/>
  <c r="AZ224" i="3"/>
  <c r="G227" i="3"/>
  <c r="G228" i="3"/>
  <c r="BL228" i="3"/>
  <c r="AZ228" i="3"/>
  <c r="G231" i="3"/>
  <c r="BL231" i="3"/>
  <c r="BL233" i="3"/>
  <c r="AZ233" i="3" s="1"/>
  <c r="BL235" i="3"/>
  <c r="AZ235" i="3" s="1"/>
  <c r="BA236" i="3"/>
  <c r="AZ236" i="3" s="1"/>
  <c r="BA237" i="3"/>
  <c r="AZ237" i="3" s="1"/>
  <c r="BA238" i="3"/>
  <c r="AZ238" i="3" s="1"/>
  <c r="BL240" i="3"/>
  <c r="G243" i="3"/>
  <c r="G244" i="3"/>
  <c r="BL244" i="3"/>
  <c r="AZ244" i="3" s="1"/>
  <c r="G247" i="3"/>
  <c r="BL247" i="3"/>
  <c r="AZ247" i="3"/>
  <c r="BL249" i="3"/>
  <c r="BL251" i="3"/>
  <c r="AZ251" i="3"/>
  <c r="BA252" i="3"/>
  <c r="AZ252" i="3"/>
  <c r="BA253" i="3"/>
  <c r="AZ253" i="3"/>
  <c r="BA254" i="3"/>
  <c r="AZ254" i="3"/>
  <c r="BL256" i="3"/>
  <c r="AZ256" i="3"/>
  <c r="G259" i="3"/>
  <c r="BA260" i="3"/>
  <c r="BA261" i="3"/>
  <c r="AZ261" i="3" s="1"/>
  <c r="BL263" i="3"/>
  <c r="G264" i="3"/>
  <c r="BL264" i="3"/>
  <c r="AZ264" i="3" s="1"/>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G142" i="3"/>
  <c r="G143" i="3"/>
  <c r="G146" i="3"/>
  <c r="G147" i="3"/>
  <c r="BL149" i="3"/>
  <c r="AZ149" i="3" s="1"/>
  <c r="G152" i="3"/>
  <c r="C47" i="71"/>
  <c r="D47" i="71" s="1"/>
  <c r="D46" i="7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A194" i="3"/>
  <c r="AZ194" i="3" s="1"/>
  <c r="BL195" i="3"/>
  <c r="AZ195" i="3" s="1"/>
  <c r="BL198" i="3"/>
  <c r="BA200" i="3"/>
  <c r="AZ200" i="3" s="1"/>
  <c r="BL201" i="3"/>
  <c r="G204" i="3"/>
  <c r="G206" i="3"/>
  <c r="G207" i="3"/>
  <c r="BL207" i="3"/>
  <c r="BA18" i="3"/>
  <c r="AZ18" i="3" s="1"/>
  <c r="BA19" i="3"/>
  <c r="BA20" i="3"/>
  <c r="AZ20" i="3" s="1"/>
  <c r="BA21" i="3"/>
  <c r="G24" i="3"/>
  <c r="G25" i="3"/>
  <c r="BL25" i="3"/>
  <c r="G28" i="3"/>
  <c r="G29" i="3"/>
  <c r="G30" i="3"/>
  <c r="BL30" i="3"/>
  <c r="BL32" i="3"/>
  <c r="AZ32" i="3" s="1"/>
  <c r="G35" i="3"/>
  <c r="G36" i="3"/>
  <c r="BL36" i="3"/>
  <c r="G39" i="3"/>
  <c r="G40" i="3"/>
  <c r="BL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A66" i="3"/>
  <c r="AZ66" i="3" s="1"/>
  <c r="BA67" i="3"/>
  <c r="BL69" i="3"/>
  <c r="G71" i="3"/>
  <c r="G72" i="3"/>
  <c r="G73" i="3"/>
  <c r="BL73" i="3"/>
  <c r="BL75" i="3"/>
  <c r="G77" i="3"/>
  <c r="G78" i="3"/>
  <c r="BL78" i="3"/>
  <c r="BL80" i="3"/>
  <c r="AZ80" i="3" s="1"/>
  <c r="G82" i="3"/>
  <c r="G83" i="3"/>
  <c r="C43" i="71"/>
  <c r="C44" i="71" s="1"/>
  <c r="D44" i="71" s="1"/>
  <c r="D42" i="71"/>
  <c r="J51" i="67"/>
  <c r="S21" i="34"/>
  <c r="F31" i="71"/>
  <c r="F32" i="71" s="1"/>
  <c r="V32" i="71" s="1"/>
  <c r="B63" i="71"/>
  <c r="B64" i="71"/>
  <c r="S64" i="71" s="1"/>
  <c r="G84" i="3"/>
  <c r="G85" i="3"/>
  <c r="G86" i="3"/>
  <c r="G87" i="3"/>
  <c r="BL87" i="3"/>
  <c r="BL89" i="3"/>
  <c r="AZ89" i="3" s="1"/>
  <c r="G91" i="3"/>
  <c r="BL91" i="3"/>
  <c r="AZ91" i="3" s="1"/>
  <c r="G93" i="3"/>
  <c r="G94" i="3"/>
  <c r="G95" i="3"/>
  <c r="BL95" i="3"/>
  <c r="BA96" i="3"/>
  <c r="AZ96" i="3" s="1"/>
  <c r="BA97" i="3"/>
  <c r="AZ97" i="3" s="1"/>
  <c r="G100" i="3"/>
  <c r="BL100" i="3"/>
  <c r="AZ100" i="3" s="1"/>
  <c r="BL102" i="3"/>
  <c r="AZ102" i="3" s="1"/>
  <c r="BA103" i="3"/>
  <c r="BL105" i="3"/>
  <c r="G107" i="3"/>
  <c r="G108" i="3"/>
  <c r="BL108" i="3"/>
  <c r="BL110" i="3"/>
  <c r="AZ110" i="3" s="1"/>
  <c r="F3" i="35"/>
  <c r="C40" i="68"/>
  <c r="C21" i="68"/>
  <c r="C40" i="69"/>
  <c r="AC21" i="33"/>
  <c r="S21" i="37"/>
  <c r="D52" i="71"/>
  <c r="O65" i="71"/>
  <c r="C82" i="71"/>
  <c r="D82" i="71" s="1"/>
  <c r="X29" i="71"/>
  <c r="AA37" i="71"/>
  <c r="AA41" i="21"/>
  <c r="S42" i="21"/>
  <c r="AC40" i="21"/>
  <c r="AC38"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S40"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s="1"/>
  <c r="BL537" i="3"/>
  <c r="AZ537" i="3" s="1"/>
  <c r="AZ535" i="3"/>
  <c r="BL533" i="3"/>
  <c r="AZ533" i="3" s="1"/>
  <c r="BL529" i="3"/>
  <c r="AZ529" i="3" s="1"/>
  <c r="AZ527" i="3"/>
  <c r="BL525" i="3"/>
  <c r="AZ525" i="3" s="1"/>
  <c r="BL521" i="3"/>
  <c r="AZ521" i="3" s="1"/>
  <c r="G521" i="3"/>
  <c r="G28" i="6"/>
  <c r="AZ334" i="3"/>
  <c r="AZ351" i="3"/>
  <c r="AZ327" i="3"/>
  <c r="W12" i="37"/>
  <c r="AC12" i="37"/>
  <c r="AZ493" i="3"/>
  <c r="AZ497" i="3"/>
  <c r="AZ501" i="3"/>
  <c r="AZ565" i="3"/>
  <c r="AZ569" i="3"/>
  <c r="AZ573" i="3"/>
  <c r="AZ508" i="3"/>
  <c r="AZ520" i="3"/>
  <c r="AZ534" i="3"/>
  <c r="AZ556" i="3"/>
  <c r="U33" i="40"/>
  <c r="AB33" i="40"/>
  <c r="W21" i="40"/>
  <c r="AC21" i="40"/>
  <c r="BL581" i="3"/>
  <c r="AZ581" i="3" s="1"/>
  <c r="BL579" i="3"/>
  <c r="AZ579" i="3" s="1"/>
  <c r="BL575" i="3"/>
  <c r="AZ575" i="3" s="1"/>
  <c r="BL563" i="3"/>
  <c r="AZ563" i="3" s="1"/>
  <c r="BL561" i="3"/>
  <c r="AZ561" i="3" s="1"/>
  <c r="AZ559" i="3"/>
  <c r="BL551" i="3"/>
  <c r="AZ551" i="3"/>
  <c r="J34" i="35"/>
  <c r="H34" i="35"/>
  <c r="AB34" i="35" s="1"/>
  <c r="F34" i="35"/>
  <c r="AZ425" i="3"/>
  <c r="AZ432" i="3"/>
  <c r="F9" i="37"/>
  <c r="S9" i="37" s="1"/>
  <c r="U26" i="37"/>
  <c r="W23" i="35"/>
  <c r="H27" i="34"/>
  <c r="U27" i="34" s="1"/>
  <c r="AB27" i="37"/>
  <c r="J27" i="37"/>
  <c r="W27" i="37" s="1"/>
  <c r="H43" i="39"/>
  <c r="F43" i="39"/>
  <c r="AA43" i="39" s="1"/>
  <c r="H25" i="36"/>
  <c r="F25" i="36"/>
  <c r="AA25" i="36" s="1"/>
  <c r="F40" i="37"/>
  <c r="J40" i="37"/>
  <c r="W40" i="37" s="1"/>
  <c r="J32" i="36"/>
  <c r="W32" i="36" s="1"/>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W28" i="21" s="1"/>
  <c r="F28" i="21"/>
  <c r="S28" i="21" s="1"/>
  <c r="H14" i="21"/>
  <c r="F14" i="21"/>
  <c r="AA14" i="21" s="1"/>
  <c r="AC38" i="34"/>
  <c r="AB42" i="34"/>
  <c r="S26" i="33"/>
  <c r="F27" i="34"/>
  <c r="S27" i="34" s="1"/>
  <c r="W32"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385" i="3"/>
  <c r="AZ270" i="3"/>
  <c r="AZ274" i="3"/>
  <c r="AZ277" i="3"/>
  <c r="AZ301" i="3"/>
  <c r="AZ122" i="3"/>
  <c r="AZ125" i="3"/>
  <c r="AZ452" i="3"/>
  <c r="AZ153" i="3"/>
  <c r="AZ169" i="3"/>
  <c r="AZ201" i="3"/>
  <c r="AZ25" i="3"/>
  <c r="AZ36" i="3"/>
  <c r="AZ49" i="3"/>
  <c r="AZ62" i="3"/>
  <c r="T64" i="71"/>
  <c r="D64" i="71"/>
  <c r="P66" i="71"/>
  <c r="P65" i="71"/>
  <c r="D35" i="71"/>
  <c r="C36" i="71"/>
  <c r="AZ73"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s="1"/>
  <c r="E32" i="71" s="1"/>
  <c r="U32" i="71" s="1"/>
  <c r="AA29" i="71"/>
  <c r="AB30" i="71"/>
  <c r="B38" i="71"/>
  <c r="B39" i="71" s="1"/>
  <c r="B40" i="71" s="1"/>
  <c r="S40" i="71" s="1"/>
  <c r="X37" i="71"/>
  <c r="AB9" i="71"/>
  <c r="AB39" i="71"/>
  <c r="X24" i="71"/>
  <c r="X14" i="71"/>
  <c r="Y17" i="71"/>
  <c r="Z17" i="71" s="1"/>
  <c r="AA12" i="71"/>
  <c r="AB18" i="71"/>
  <c r="M56" i="9"/>
  <c r="K56" i="9"/>
  <c r="Y24" i="71"/>
  <c r="Z24" i="71" s="1"/>
  <c r="AA24" i="71"/>
  <c r="AA22" i="71"/>
  <c r="AA23" i="71"/>
  <c r="X21" i="71"/>
  <c r="X22" i="71"/>
  <c r="Y21" i="71"/>
  <c r="Z21" i="71" s="1"/>
  <c r="Y22" i="71"/>
  <c r="Z22" i="71" s="1"/>
  <c r="AA21" i="71"/>
  <c r="AB21" i="71"/>
  <c r="X10" i="71"/>
  <c r="Y9" i="71"/>
  <c r="Z9" i="71" s="1"/>
  <c r="AA9" i="71"/>
  <c r="S68" i="71"/>
  <c r="B67" i="71"/>
  <c r="B66" i="71" s="1"/>
  <c r="N66" i="71" s="1"/>
  <c r="AB24" i="71"/>
  <c r="Y23" i="71"/>
  <c r="Z23" i="71" s="1"/>
  <c r="AB23" i="71"/>
  <c r="Y18" i="71"/>
  <c r="Z18" i="71" s="1"/>
  <c r="X18" i="71"/>
  <c r="AA18" i="71"/>
  <c r="Y12" i="71"/>
  <c r="Z12" i="71" s="1"/>
  <c r="Y13" i="71"/>
  <c r="Z13" i="71" s="1"/>
  <c r="AB15" i="71"/>
  <c r="AB14" i="71"/>
  <c r="AB11" i="71"/>
  <c r="AB12" i="71"/>
  <c r="X17" i="71"/>
  <c r="AA17" i="71"/>
  <c r="AB17" i="71"/>
  <c r="AA13" i="71"/>
  <c r="X13" i="71"/>
  <c r="AB13" i="71"/>
  <c r="Y10" i="71"/>
  <c r="Z10" i="71" s="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M6" i="1"/>
  <c r="O6" i="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AQ13" i="1"/>
  <c r="E8" i="6"/>
  <c r="E12" i="6"/>
  <c r="E57" i="40" s="1"/>
  <c r="E15" i="6"/>
  <c r="E11" i="6"/>
  <c r="E10" i="6"/>
  <c r="H16" i="1"/>
  <c r="P6" i="1"/>
  <c r="C13" i="12" s="1"/>
  <c r="P11" i="1"/>
  <c r="E59" i="40"/>
  <c r="AZ13"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s="1"/>
  <c r="E11" i="43"/>
  <c r="E9" i="43"/>
  <c r="E10" i="43"/>
  <c r="E8" i="43"/>
  <c r="G25" i="12"/>
  <c r="G27" i="12"/>
  <c r="E48" i="35"/>
  <c r="F48" i="35" s="1"/>
  <c r="D58" i="33"/>
  <c r="E58" i="33"/>
  <c r="B46" i="48"/>
  <c r="B4" i="72" s="1"/>
  <c r="B4" i="62"/>
  <c r="B71" i="72" s="1"/>
  <c r="D9" i="53"/>
  <c r="B25" i="72" s="1"/>
  <c r="B24" i="72"/>
  <c r="K120" i="9"/>
  <c r="Y16" i="71"/>
  <c r="Z16" i="71" s="1"/>
  <c r="Y15" i="71"/>
  <c r="Z15" i="71" s="1"/>
  <c r="AA16" i="71"/>
  <c r="AB3" i="71"/>
  <c r="B16" i="71"/>
  <c r="X16" i="71"/>
  <c r="AB16" i="71"/>
  <c r="Y3" i="71"/>
  <c r="Z3" i="71"/>
  <c r="AF3" i="71"/>
  <c r="P26" i="43"/>
  <c r="I54" i="67"/>
  <c r="D43" i="71"/>
  <c r="AA44" i="39"/>
  <c r="S44" i="39"/>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B15" i="71"/>
  <c r="B14" i="71" s="1"/>
  <c r="B13" i="71" s="1"/>
  <c r="B12" i="71" s="1"/>
  <c r="S16" i="71"/>
  <c r="N67" i="71"/>
  <c r="T36" i="71"/>
  <c r="D36" i="71"/>
  <c r="AA23" i="36"/>
  <c r="S23" i="36"/>
  <c r="AC23" i="36"/>
  <c r="W23" i="36"/>
  <c r="AB36" i="35"/>
  <c r="U36" i="35"/>
  <c r="S45" i="39"/>
  <c r="AA45" i="39"/>
  <c r="U14" i="21"/>
  <c r="AB14"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67" i="39"/>
  <c r="E69" i="39" s="1"/>
  <c r="AA26" i="35"/>
  <c r="S26" i="35"/>
  <c r="AC26" i="35"/>
  <c r="AB26" i="35"/>
  <c r="E61" i="39"/>
  <c r="E72" i="43"/>
  <c r="B70" i="43" s="1"/>
  <c r="E51" i="40"/>
  <c r="D10" i="52"/>
  <c r="D125" i="9"/>
  <c r="D11" i="52" s="1"/>
  <c r="B7" i="74"/>
  <c r="C7" i="74" s="1"/>
  <c r="P28" i="43"/>
  <c r="B66" i="40" s="1"/>
  <c r="P25" i="43"/>
  <c r="P29" i="43"/>
  <c r="P27" i="43"/>
  <c r="B70" i="39" s="1"/>
  <c r="C32" i="67"/>
  <c r="C32" i="15"/>
  <c r="AE11" i="1"/>
  <c r="AE9" i="1"/>
  <c r="AE7" i="1"/>
  <c r="AE8" i="1"/>
  <c r="AE12" i="1"/>
  <c r="AE10" i="1"/>
  <c r="T44" i="71"/>
  <c r="E11" i="71"/>
  <c r="E10" i="71" s="1"/>
  <c r="E9" i="71" s="1"/>
  <c r="E8" i="71" s="1"/>
  <c r="E7" i="71" s="1"/>
  <c r="E6" i="71" s="1"/>
  <c r="E5" i="71" s="1"/>
  <c r="N65" i="7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D3" i="21"/>
  <c r="M18" i="9"/>
  <c r="B118" i="9" s="1"/>
  <c r="F58" i="21"/>
  <c r="G48" i="35"/>
  <c r="H48" i="35" s="1"/>
  <c r="S11" i="1"/>
  <c r="AR11" i="1" s="1"/>
  <c r="E11" i="70"/>
  <c r="S9" i="1"/>
  <c r="AR9" i="1" s="1"/>
  <c r="AQ8" i="1"/>
  <c r="S7" i="1"/>
  <c r="AR7" i="1" s="1"/>
  <c r="E7" i="70"/>
  <c r="S10" i="1"/>
  <c r="T10" i="1" s="1"/>
  <c r="E10" i="70"/>
  <c r="S12" i="1"/>
  <c r="T12" i="1" s="1"/>
  <c r="B2" i="74"/>
  <c r="P14" i="1"/>
  <c r="G58" i="21"/>
  <c r="H58" i="21" s="1"/>
  <c r="C60" i="15"/>
  <c r="C60" i="67"/>
  <c r="R7" i="1"/>
  <c r="E12" i="70"/>
  <c r="F34" i="11"/>
  <c r="E9" i="70"/>
  <c r="AQ9" i="1"/>
  <c r="AQ11" i="1"/>
  <c r="AR12" i="1"/>
  <c r="AQ12" i="1"/>
  <c r="AR10" i="1"/>
  <c r="R11" i="1"/>
  <c r="R9" i="1"/>
  <c r="R10" i="1"/>
  <c r="R8" i="1"/>
  <c r="R12" i="1"/>
  <c r="C33" i="15"/>
  <c r="C33" i="67"/>
  <c r="C61" i="67"/>
  <c r="C34" i="67"/>
  <c r="C62" i="67"/>
  <c r="C62" i="15"/>
  <c r="C34" i="15"/>
  <c r="C61" i="15"/>
  <c r="L46" i="67"/>
  <c r="B2" i="33"/>
  <c r="B2" i="36"/>
  <c r="B3" i="36" s="1"/>
  <c r="B2" i="35"/>
  <c r="B3" i="35" s="1"/>
  <c r="B2" i="37"/>
  <c r="B2" i="34"/>
  <c r="B6" i="74"/>
  <c r="D6" i="74" s="1"/>
  <c r="M9" i="67"/>
  <c r="M8" i="15"/>
  <c r="D7" i="73"/>
  <c r="E2" i="69"/>
  <c r="E2" i="68"/>
  <c r="C76" i="67"/>
  <c r="F37" i="67"/>
  <c r="M26" i="15"/>
  <c r="M28" i="67"/>
  <c r="B10" i="76"/>
  <c r="D3" i="73"/>
  <c r="F26" i="15"/>
  <c r="E10" i="76"/>
  <c r="F35" i="15"/>
  <c r="F4" i="73"/>
  <c r="L47" i="15"/>
  <c r="M6" i="15"/>
  <c r="F43" i="67"/>
  <c r="E9" i="76"/>
  <c r="D2" i="34"/>
  <c r="F41" i="15"/>
  <c r="D5" i="73"/>
  <c r="AO12" i="1"/>
  <c r="C76" i="15"/>
  <c r="AO11" i="1"/>
  <c r="M21" i="15"/>
  <c r="F40" i="67"/>
  <c r="D6" i="73"/>
  <c r="F42" i="67"/>
  <c r="B12" i="76"/>
  <c r="F9" i="67"/>
  <c r="M27" i="15"/>
  <c r="D4" i="73"/>
  <c r="AO10" i="1"/>
  <c r="AO8" i="1"/>
  <c r="D2" i="35"/>
  <c r="F36" i="15"/>
  <c r="F9" i="15"/>
  <c r="AO9" i="1"/>
  <c r="F13" i="15"/>
  <c r="D2" i="21"/>
  <c r="M29" i="67"/>
  <c r="B13" i="76"/>
  <c r="E12" i="76"/>
  <c r="D34" i="9"/>
  <c r="D35" i="9"/>
  <c r="M22" i="67"/>
  <c r="M8" i="67"/>
  <c r="F6" i="67"/>
  <c r="M24" i="67"/>
  <c r="M23" i="15"/>
  <c r="F38" i="67"/>
  <c r="M27" i="67"/>
  <c r="F13" i="67"/>
  <c r="J15" i="15"/>
  <c r="B9" i="76"/>
  <c r="F26" i="67"/>
  <c r="F16" i="67"/>
  <c r="M9" i="15"/>
  <c r="B7" i="76"/>
  <c r="B11" i="76"/>
  <c r="F8" i="67"/>
  <c r="F5" i="73"/>
  <c r="E8" i="76"/>
  <c r="F42" i="15"/>
  <c r="L48" i="15"/>
  <c r="D2" i="37"/>
  <c r="F16" i="15"/>
  <c r="F6" i="15"/>
  <c r="M26" i="67"/>
  <c r="F7" i="67"/>
  <c r="AO13" i="1"/>
  <c r="F36" i="67"/>
  <c r="M6" i="67"/>
  <c r="AO7" i="1"/>
  <c r="M24" i="15"/>
  <c r="F38" i="15"/>
  <c r="M29" i="15"/>
  <c r="E7" i="76"/>
  <c r="D2" i="33"/>
  <c r="F8" i="15"/>
  <c r="E13" i="76"/>
  <c r="E11" i="76"/>
  <c r="F37" i="15"/>
  <c r="M22" i="15"/>
  <c r="F43" i="15"/>
  <c r="M28" i="15"/>
  <c r="L48" i="67"/>
  <c r="L47" i="67"/>
  <c r="F3" i="73"/>
  <c r="F40" i="15"/>
  <c r="F20" i="31"/>
  <c r="F6" i="73"/>
  <c r="B8" i="76"/>
  <c r="J15" i="67"/>
  <c r="D2" i="36"/>
  <c r="F7" i="73"/>
  <c r="F7" i="15"/>
  <c r="M23" i="67"/>
  <c r="D5" i="43" l="1"/>
  <c r="C5" i="43"/>
  <c r="E28" i="6"/>
  <c r="F30" i="6"/>
  <c r="S12" i="71"/>
  <c r="B11" i="71"/>
  <c r="B10" i="71" s="1"/>
  <c r="B9" i="71" s="1"/>
  <c r="B8" i="71" s="1"/>
  <c r="B7" i="71" s="1"/>
  <c r="B6" i="71" s="1"/>
  <c r="B5" i="71" s="1"/>
  <c r="D7" i="74"/>
  <c r="AQ7" i="1"/>
  <c r="AQ10" i="1"/>
  <c r="D8" i="74"/>
  <c r="AR8" i="1"/>
  <c r="C48" i="68"/>
  <c r="C7" i="43"/>
  <c r="D22" i="71"/>
  <c r="C21" i="71"/>
  <c r="C20" i="71" s="1"/>
  <c r="AB30" i="21"/>
  <c r="U30" i="21"/>
  <c r="G106" i="21"/>
  <c r="H106" i="21" s="1"/>
  <c r="I106" i="21" s="1"/>
  <c r="J106" i="21" s="1"/>
  <c r="K106" i="21" s="1"/>
  <c r="L106" i="21" s="1"/>
  <c r="M106" i="21" s="1"/>
  <c r="H34" i="21"/>
  <c r="J34" i="21"/>
  <c r="F34" i="21"/>
  <c r="AA34" i="21" s="1"/>
  <c r="O16" i="1"/>
  <c r="E29" i="6"/>
  <c r="U23" i="21"/>
  <c r="AB23" i="21"/>
  <c r="H36" i="21"/>
  <c r="G110" i="21"/>
  <c r="H110" i="21" s="1"/>
  <c r="I110" i="21" s="1"/>
  <c r="J110" i="21" s="1"/>
  <c r="K110" i="21" s="1"/>
  <c r="L110" i="21" s="1"/>
  <c r="M110" i="21" s="1"/>
  <c r="F36" i="21"/>
  <c r="AZ208" i="3"/>
  <c r="AZ477" i="3"/>
  <c r="AZ443" i="3"/>
  <c r="AZ550" i="3"/>
  <c r="AZ560" i="3"/>
  <c r="AZ576" i="3"/>
  <c r="AZ366" i="3"/>
  <c r="AC5" i="3"/>
  <c r="AZ545" i="3"/>
  <c r="H12" i="35"/>
  <c r="F12" i="35"/>
  <c r="U28" i="34"/>
  <c r="AB41" i="34"/>
  <c r="U44" i="34"/>
  <c r="AB17" i="37"/>
  <c r="S37" i="37"/>
  <c r="S14" i="36"/>
  <c r="AB20" i="36"/>
  <c r="AA26" i="36"/>
  <c r="S15" i="39"/>
  <c r="AB19" i="40"/>
  <c r="AA19" i="40"/>
  <c r="AB27" i="40"/>
  <c r="AA12" i="40"/>
  <c r="AZ377" i="3"/>
  <c r="AZ347" i="3"/>
  <c r="AZ337" i="3"/>
  <c r="AZ313" i="3"/>
  <c r="AZ305" i="3"/>
  <c r="AZ360" i="3"/>
  <c r="AZ343" i="3"/>
  <c r="S11" i="39"/>
  <c r="U43" i="33"/>
  <c r="AZ539" i="3"/>
  <c r="AZ495" i="3"/>
  <c r="W31" i="34"/>
  <c r="AA44" i="33"/>
  <c r="AZ426" i="3"/>
  <c r="AZ455" i="3"/>
  <c r="BL363" i="3"/>
  <c r="AZ363" i="3" s="1"/>
  <c r="BA366" i="3"/>
  <c r="BA368" i="3"/>
  <c r="AZ368" i="3" s="1"/>
  <c r="G374" i="3"/>
  <c r="G382" i="3"/>
  <c r="BL386" i="3"/>
  <c r="AZ386" i="3" s="1"/>
  <c r="G392" i="3"/>
  <c r="BL393" i="3"/>
  <c r="AZ393" i="3" s="1"/>
  <c r="BA396" i="3"/>
  <c r="AZ396" i="3" s="1"/>
  <c r="BL208" i="3"/>
  <c r="BA210" i="3"/>
  <c r="AZ210" i="3" s="1"/>
  <c r="BA212" i="3"/>
  <c r="AZ212" i="3" s="1"/>
  <c r="G215" i="3"/>
  <c r="G216" i="3"/>
  <c r="BL216" i="3"/>
  <c r="BL218" i="3"/>
  <c r="AZ218" i="3" s="1"/>
  <c r="BA219" i="3"/>
  <c r="AZ219" i="3" s="1"/>
  <c r="BL221" i="3"/>
  <c r="AZ221" i="3" s="1"/>
  <c r="BL223" i="3"/>
  <c r="AZ223" i="3" s="1"/>
  <c r="BA225" i="3"/>
  <c r="AZ225" i="3" s="1"/>
  <c r="BA227" i="3"/>
  <c r="AZ227" i="3" s="1"/>
  <c r="BA229" i="3"/>
  <c r="AZ229" i="3" s="1"/>
  <c r="BA231" i="3"/>
  <c r="AZ231" i="3" s="1"/>
  <c r="G234" i="3"/>
  <c r="G235" i="3"/>
  <c r="G237" i="3"/>
  <c r="J25" i="37"/>
  <c r="F26" i="37"/>
  <c r="AB14" i="37"/>
  <c r="H38" i="40"/>
  <c r="J40" i="40"/>
  <c r="G578" i="3"/>
  <c r="G570" i="3"/>
  <c r="G562" i="3"/>
  <c r="G556" i="3"/>
  <c r="G526" i="3"/>
  <c r="BA398" i="3"/>
  <c r="AZ398" i="3" s="1"/>
  <c r="BL400" i="3"/>
  <c r="AZ400" i="3" s="1"/>
  <c r="G403" i="3"/>
  <c r="BL403" i="3"/>
  <c r="AZ403" i="3" s="1"/>
  <c r="G406" i="3"/>
  <c r="BL407" i="3"/>
  <c r="AZ407" i="3" s="1"/>
  <c r="BA409" i="3"/>
  <c r="AZ409" i="3" s="1"/>
  <c r="BA411" i="3"/>
  <c r="AZ411" i="3" s="1"/>
  <c r="G415" i="3"/>
  <c r="BL416" i="3"/>
  <c r="AZ416" i="3" s="1"/>
  <c r="G422" i="3"/>
  <c r="BL422" i="3"/>
  <c r="AZ422" i="3" s="1"/>
  <c r="G425" i="3"/>
  <c r="G426" i="3"/>
  <c r="BL426" i="3"/>
  <c r="BL428" i="3"/>
  <c r="AZ428" i="3" s="1"/>
  <c r="BA429" i="3"/>
  <c r="AZ429" i="3" s="1"/>
  <c r="BL431" i="3"/>
  <c r="AZ431" i="3" s="1"/>
  <c r="G436" i="3"/>
  <c r="BL436" i="3"/>
  <c r="AZ436" i="3" s="1"/>
  <c r="G439" i="3"/>
  <c r="BL439" i="3"/>
  <c r="AZ439" i="3" s="1"/>
  <c r="BL441" i="3"/>
  <c r="AZ441" i="3" s="1"/>
  <c r="G447" i="3"/>
  <c r="BL448" i="3"/>
  <c r="AZ448" i="3" s="1"/>
  <c r="G451" i="3"/>
  <c r="BL451" i="3"/>
  <c r="AZ451" i="3" s="1"/>
  <c r="G455" i="3"/>
  <c r="BL455" i="3"/>
  <c r="BL457" i="3"/>
  <c r="AZ457" i="3" s="1"/>
  <c r="G461" i="3"/>
  <c r="G462" i="3"/>
  <c r="G463" i="3"/>
  <c r="G464" i="3"/>
  <c r="BL464" i="3"/>
  <c r="AZ464" i="3" s="1"/>
  <c r="G467" i="3"/>
  <c r="BL468" i="3"/>
  <c r="AZ468" i="3" s="1"/>
  <c r="BL470" i="3"/>
  <c r="AZ470" i="3" s="1"/>
  <c r="BA471" i="3"/>
  <c r="AZ471" i="3" s="1"/>
  <c r="BA473" i="3"/>
  <c r="AZ473" i="3" s="1"/>
  <c r="BA475" i="3"/>
  <c r="AZ475" i="3" s="1"/>
  <c r="G478" i="3"/>
  <c r="BL479" i="3"/>
  <c r="AZ479" i="3" s="1"/>
  <c r="BA480" i="3"/>
  <c r="AZ480" i="3" s="1"/>
  <c r="BA481" i="3"/>
  <c r="AZ481" i="3" s="1"/>
  <c r="BA483" i="3"/>
  <c r="AZ483" i="3" s="1"/>
  <c r="BA485" i="3"/>
  <c r="AZ485" i="3" s="1"/>
  <c r="G490" i="3"/>
  <c r="G491" i="3"/>
  <c r="G311" i="3"/>
  <c r="BA316" i="3"/>
  <c r="AZ316" i="3" s="1"/>
  <c r="BA319" i="3"/>
  <c r="AZ319" i="3" s="1"/>
  <c r="BA323" i="3"/>
  <c r="AZ323" i="3" s="1"/>
  <c r="BL328" i="3"/>
  <c r="AZ328" i="3" s="1"/>
  <c r="BL333" i="3"/>
  <c r="AZ333" i="3" s="1"/>
  <c r="G347" i="3"/>
  <c r="BA349" i="3"/>
  <c r="AZ349" i="3" s="1"/>
  <c r="BA352" i="3"/>
  <c r="AZ352" i="3" s="1"/>
  <c r="BA354" i="3"/>
  <c r="AZ354" i="3" s="1"/>
  <c r="BA239" i="3"/>
  <c r="AZ239" i="3" s="1"/>
  <c r="BA240" i="3"/>
  <c r="AZ240" i="3" s="1"/>
  <c r="BL243" i="3"/>
  <c r="AZ243" i="3" s="1"/>
  <c r="BL245" i="3"/>
  <c r="AZ245" i="3" s="1"/>
  <c r="BA246" i="3"/>
  <c r="AZ246" i="3" s="1"/>
  <c r="BA248" i="3"/>
  <c r="AZ248" i="3" s="1"/>
  <c r="BA249" i="3"/>
  <c r="AZ249" i="3" s="1"/>
  <c r="G252" i="3"/>
  <c r="G254" i="3"/>
  <c r="BL255" i="3"/>
  <c r="AZ255" i="3" s="1"/>
  <c r="BA257" i="3"/>
  <c r="AZ257" i="3" s="1"/>
  <c r="BA259" i="3"/>
  <c r="AZ259" i="3" s="1"/>
  <c r="BL260" i="3"/>
  <c r="AZ260" i="3" s="1"/>
  <c r="BA262" i="3"/>
  <c r="AZ262" i="3" s="1"/>
  <c r="BA263" i="3"/>
  <c r="AZ263" i="3" s="1"/>
  <c r="BL265" i="3"/>
  <c r="AZ265" i="3" s="1"/>
  <c r="BL267" i="3"/>
  <c r="AZ267" i="3" s="1"/>
  <c r="BL269" i="3"/>
  <c r="AZ269" i="3" s="1"/>
  <c r="G272" i="3"/>
  <c r="G274" i="3"/>
  <c r="G275" i="3"/>
  <c r="G277" i="3"/>
  <c r="G278" i="3"/>
  <c r="BL278" i="3"/>
  <c r="AZ278" i="3" s="1"/>
  <c r="BL280" i="3"/>
  <c r="AZ280" i="3" s="1"/>
  <c r="G283" i="3"/>
  <c r="G284" i="3"/>
  <c r="BL284" i="3"/>
  <c r="AZ284" i="3" s="1"/>
  <c r="BL286" i="3"/>
  <c r="AZ286" i="3" s="1"/>
  <c r="BA288" i="3"/>
  <c r="AZ288" i="3" s="1"/>
  <c r="G291" i="3"/>
  <c r="G292" i="3"/>
  <c r="BL292" i="3"/>
  <c r="AZ292" i="3" s="1"/>
  <c r="G295" i="3"/>
  <c r="G297" i="3"/>
  <c r="BL298" i="3"/>
  <c r="AZ298" i="3" s="1"/>
  <c r="BL300" i="3"/>
  <c r="AZ300" i="3" s="1"/>
  <c r="BL114" i="3"/>
  <c r="AZ114" i="3" s="1"/>
  <c r="G118" i="3"/>
  <c r="G122" i="3"/>
  <c r="G123" i="3"/>
  <c r="BA124" i="3"/>
  <c r="AZ124" i="3" s="1"/>
  <c r="G126" i="3"/>
  <c r="G128" i="3"/>
  <c r="BA130" i="3"/>
  <c r="AZ130" i="3" s="1"/>
  <c r="D59" i="71"/>
  <c r="C60" i="71"/>
  <c r="BA132" i="3"/>
  <c r="AZ132" i="3" s="1"/>
  <c r="G134" i="3"/>
  <c r="G139" i="3"/>
  <c r="BL142" i="3"/>
  <c r="AZ142" i="3" s="1"/>
  <c r="BL146" i="3"/>
  <c r="AZ146" i="3" s="1"/>
  <c r="G150" i="3"/>
  <c r="G151" i="3"/>
  <c r="BA152" i="3"/>
  <c r="AZ152" i="3" s="1"/>
  <c r="G154" i="3"/>
  <c r="G155" i="3"/>
  <c r="BA156" i="3"/>
  <c r="AZ156" i="3" s="1"/>
  <c r="G159" i="3"/>
  <c r="BA160" i="3"/>
  <c r="AZ160" i="3" s="1"/>
  <c r="G163" i="3"/>
  <c r="BA164" i="3"/>
  <c r="AZ164" i="3" s="1"/>
  <c r="G166" i="3"/>
  <c r="G168" i="3"/>
  <c r="BA170" i="3"/>
  <c r="AZ170" i="3" s="1"/>
  <c r="BL171" i="3"/>
  <c r="AZ171" i="3" s="1"/>
  <c r="G175" i="3"/>
  <c r="BA176" i="3"/>
  <c r="AZ176" i="3" s="1"/>
  <c r="G179" i="3"/>
  <c r="BA180" i="3"/>
  <c r="AZ180" i="3" s="1"/>
  <c r="G182" i="3"/>
  <c r="G183" i="3"/>
  <c r="BA185" i="3"/>
  <c r="AZ185" i="3" s="1"/>
  <c r="G190" i="3"/>
  <c r="BL193" i="3"/>
  <c r="AZ193" i="3" s="1"/>
  <c r="G196" i="3"/>
  <c r="BA197" i="3"/>
  <c r="AZ197" i="3" s="1"/>
  <c r="BA198" i="3"/>
  <c r="AZ198" i="3" s="1"/>
  <c r="G202" i="3"/>
  <c r="G203" i="3"/>
  <c r="BA204" i="3"/>
  <c r="AZ204" i="3" s="1"/>
  <c r="BA205" i="3"/>
  <c r="AZ205" i="3" s="1"/>
  <c r="BA207" i="3"/>
  <c r="AZ207" i="3" s="1"/>
  <c r="BL19" i="3"/>
  <c r="AZ19" i="3" s="1"/>
  <c r="BL21" i="3"/>
  <c r="AZ21" i="3" s="1"/>
  <c r="BA22" i="3"/>
  <c r="BA24" i="3"/>
  <c r="AZ24" i="3" s="1"/>
  <c r="BA26" i="3"/>
  <c r="AZ26" i="3" s="1"/>
  <c r="BA28" i="3"/>
  <c r="AZ28" i="3" s="1"/>
  <c r="BA30" i="3"/>
  <c r="AZ30" i="3" s="1"/>
  <c r="G33" i="3"/>
  <c r="G5" i="3" s="1"/>
  <c r="B3" i="3" s="1"/>
  <c r="G34" i="3"/>
  <c r="BL34" i="3"/>
  <c r="G37" i="3"/>
  <c r="G38" i="3"/>
  <c r="BL38" i="3"/>
  <c r="G41" i="3"/>
  <c r="G42" i="3"/>
  <c r="BL43" i="3"/>
  <c r="AZ43" i="3" s="1"/>
  <c r="BA44" i="3"/>
  <c r="AZ44" i="3" s="1"/>
  <c r="BA46" i="3"/>
  <c r="AZ46" i="3" s="1"/>
  <c r="G50" i="3"/>
  <c r="G51" i="3"/>
  <c r="G53" i="3"/>
  <c r="G55" i="3"/>
  <c r="G57" i="3"/>
  <c r="BL57" i="3"/>
  <c r="BA59" i="3"/>
  <c r="AZ59" i="3" s="1"/>
  <c r="BA61" i="3"/>
  <c r="AZ61" i="3" s="1"/>
  <c r="BA63" i="3"/>
  <c r="AZ63" i="3" s="1"/>
  <c r="BA65" i="3"/>
  <c r="AZ65" i="3" s="1"/>
  <c r="BL67" i="3"/>
  <c r="AZ67" i="3" s="1"/>
  <c r="BA68" i="3"/>
  <c r="AZ68" i="3" s="1"/>
  <c r="BA69" i="3"/>
  <c r="AZ69" i="3" s="1"/>
  <c r="BA70" i="3"/>
  <c r="AZ70" i="3" s="1"/>
  <c r="BA72" i="3"/>
  <c r="AZ72" i="3" s="1"/>
  <c r="BA74" i="3"/>
  <c r="AZ74" i="3" s="1"/>
  <c r="BA75" i="3"/>
  <c r="AZ75" i="3" s="1"/>
  <c r="BA76" i="3"/>
  <c r="AZ76" i="3" s="1"/>
  <c r="BA78" i="3"/>
  <c r="AZ78" i="3" s="1"/>
  <c r="G81" i="3"/>
  <c r="BL81" i="3"/>
  <c r="AZ81" i="3" s="1"/>
  <c r="BL83" i="3"/>
  <c r="AZ83" i="3" s="1"/>
  <c r="BL85" i="3"/>
  <c r="AZ85" i="3" s="1"/>
  <c r="G88" i="3"/>
  <c r="G89" i="3"/>
  <c r="G92" i="3"/>
  <c r="BL92" i="3"/>
  <c r="AZ92" i="3" s="1"/>
  <c r="BL94" i="3"/>
  <c r="AZ94" i="3" s="1"/>
  <c r="G97" i="3"/>
  <c r="G99" i="3"/>
  <c r="BL99" i="3"/>
  <c r="BL101" i="3"/>
  <c r="AZ101" i="3" s="1"/>
  <c r="BL103" i="3"/>
  <c r="AZ103" i="3" s="1"/>
  <c r="BA104" i="3"/>
  <c r="AZ104" i="3" s="1"/>
  <c r="BA105" i="3"/>
  <c r="AZ105" i="3" s="1"/>
  <c r="BA106" i="3"/>
  <c r="AZ106" i="3" s="1"/>
  <c r="BA108" i="3"/>
  <c r="AZ108" i="3" s="1"/>
  <c r="G111" i="3"/>
  <c r="G112" i="3"/>
  <c r="BL112" i="3"/>
  <c r="AZ112" i="3" s="1"/>
  <c r="D39" i="71"/>
  <c r="C40" i="71"/>
  <c r="T40" i="71" s="1"/>
  <c r="C27" i="71"/>
  <c r="T28" i="71"/>
  <c r="D28" i="71"/>
  <c r="U28" i="71" s="1"/>
  <c r="C15" i="78"/>
  <c r="C18" i="78"/>
  <c r="S18" i="36"/>
  <c r="C29" i="39"/>
  <c r="B77" i="43"/>
  <c r="D79" i="71"/>
  <c r="D67" i="71"/>
  <c r="AB27" i="71"/>
  <c r="D58" i="71"/>
  <c r="AB33" i="71"/>
  <c r="X25" i="71"/>
  <c r="X30" i="71"/>
  <c r="AB35" i="71"/>
  <c r="F39" i="71"/>
  <c r="F40" i="71" s="1"/>
  <c r="V40" i="71" s="1"/>
  <c r="B55" i="71"/>
  <c r="B56" i="71" s="1"/>
  <c r="S56" i="71" s="1"/>
  <c r="V24" i="71"/>
  <c r="B47" i="71"/>
  <c r="B48" i="71" s="1"/>
  <c r="S48" i="71" s="1"/>
  <c r="E55" i="71"/>
  <c r="E56" i="71" s="1"/>
  <c r="U56" i="71" s="1"/>
  <c r="F23" i="71"/>
  <c r="F22" i="71" s="1"/>
  <c r="F21" i="71" s="1"/>
  <c r="F20" i="71" s="1"/>
  <c r="F19" i="71" s="1"/>
  <c r="F18" i="71" s="1"/>
  <c r="F17" i="71" s="1"/>
  <c r="F16" i="71" s="1"/>
  <c r="F15" i="71" s="1"/>
  <c r="F14" i="71" s="1"/>
  <c r="F13" i="71" s="1"/>
  <c r="F12" i="71" s="1"/>
  <c r="F11" i="71" s="1"/>
  <c r="F10" i="71" s="1"/>
  <c r="F9" i="71" s="1"/>
  <c r="F8" i="71" s="1"/>
  <c r="F7" i="71" s="1"/>
  <c r="F6" i="71" s="1"/>
  <c r="F5" i="71" s="1"/>
  <c r="H99" i="43"/>
  <c r="H93" i="43"/>
  <c r="H94" i="43"/>
  <c r="F41" i="43"/>
  <c r="F39" i="43"/>
  <c r="F37" i="43"/>
  <c r="S3" i="43"/>
  <c r="S2" i="43"/>
  <c r="S5" i="43"/>
  <c r="S25" i="79"/>
  <c r="S29" i="79"/>
  <c r="U25" i="79"/>
  <c r="S26" i="79"/>
  <c r="R12" i="79"/>
  <c r="U6" i="79"/>
  <c r="U9" i="79"/>
  <c r="Y3" i="79"/>
  <c r="AD29" i="79"/>
  <c r="T29" i="79"/>
  <c r="W29" i="79" s="1"/>
  <c r="S32" i="79"/>
  <c r="AD33" i="79"/>
  <c r="C5" i="78"/>
  <c r="D5" i="78" s="1"/>
  <c r="U29" i="79"/>
  <c r="AA23" i="79"/>
  <c r="AD23" i="79" s="1"/>
  <c r="AD31" i="79"/>
  <c r="U27" i="79"/>
  <c r="C36" i="69"/>
  <c r="C36" i="11"/>
  <c r="P16" i="1"/>
  <c r="C11" i="12" s="1"/>
  <c r="C12" i="12" s="1"/>
  <c r="S44" i="21"/>
  <c r="W44" i="21"/>
  <c r="W42" i="21"/>
  <c r="AB42" i="21"/>
  <c r="S34" i="21"/>
  <c r="AC28" i="21"/>
  <c r="AA28" i="21"/>
  <c r="U28" i="21"/>
  <c r="E54" i="21"/>
  <c r="F54" i="21" s="1"/>
  <c r="T47" i="21"/>
  <c r="G54" i="21"/>
  <c r="H54" i="21" s="1"/>
  <c r="F11" i="12"/>
  <c r="C23" i="12" s="1"/>
  <c r="G41" i="68"/>
  <c r="G41" i="11"/>
  <c r="D23" i="67"/>
  <c r="D22" i="67"/>
  <c r="G22" i="11"/>
  <c r="G22" i="68"/>
  <c r="E1" i="73"/>
  <c r="K1" i="73" s="1"/>
  <c r="D9" i="68"/>
  <c r="C9" i="68" s="1"/>
  <c r="D19" i="12"/>
  <c r="C19" i="12" s="1"/>
  <c r="D9" i="11"/>
  <c r="C9" i="11" s="1"/>
  <c r="D9" i="69"/>
  <c r="C9" i="69" s="1"/>
  <c r="T11" i="1"/>
  <c r="T9" i="1"/>
  <c r="D26" i="43"/>
  <c r="C25" i="43" s="1"/>
  <c r="E13" i="6"/>
  <c r="D63" i="40"/>
  <c r="C65" i="40"/>
  <c r="F67" i="39"/>
  <c r="C36" i="68"/>
  <c r="C6" i="78"/>
  <c r="D6" i="78" s="1"/>
  <c r="U33" i="21"/>
  <c r="S33" i="21"/>
  <c r="B11" i="70"/>
  <c r="B7" i="70"/>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B20" i="31"/>
  <c r="B21" i="31" s="1"/>
  <c r="F66" i="67"/>
  <c r="F64" i="67"/>
  <c r="J53" i="15"/>
  <c r="L56" i="15" s="1"/>
  <c r="J57" i="15"/>
  <c r="J55" i="15" s="1"/>
  <c r="J58" i="15" s="1"/>
  <c r="Q50" i="15" s="1"/>
  <c r="I54" i="15"/>
  <c r="F59" i="34"/>
  <c r="G59" i="34" s="1"/>
  <c r="H59" i="34" s="1"/>
  <c r="I59" i="34" s="1"/>
  <c r="J59" i="34" s="1"/>
  <c r="K59" i="34" s="1"/>
  <c r="L59" i="34" s="1"/>
  <c r="M59" i="34" s="1"/>
  <c r="N59" i="34" s="1"/>
  <c r="O59" i="34" s="1"/>
  <c r="I48" i="35"/>
  <c r="J48" i="35" s="1"/>
  <c r="K48" i="35" s="1"/>
  <c r="L48" i="35" s="1"/>
  <c r="M48" i="35" s="1"/>
  <c r="N48" i="35" s="1"/>
  <c r="O48" i="35" s="1"/>
  <c r="I58" i="21"/>
  <c r="J58" i="21" s="1"/>
  <c r="K58" i="21" s="1"/>
  <c r="L58" i="21" s="1"/>
  <c r="M58" i="21" s="1"/>
  <c r="N58" i="21" s="1"/>
  <c r="O58" i="21"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C19" i="71"/>
  <c r="T20" i="71"/>
  <c r="D20" i="71"/>
  <c r="F46" i="36"/>
  <c r="AZ503" i="3"/>
  <c r="BL5" i="3"/>
  <c r="F58" i="33"/>
  <c r="E60" i="39"/>
  <c r="E56" i="40"/>
  <c r="E61" i="43"/>
  <c r="B59" i="43" s="1"/>
  <c r="K14" i="1"/>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38" i="3"/>
  <c r="AZ57" i="3"/>
  <c r="AZ99" i="3"/>
  <c r="C31" i="71"/>
  <c r="D30" i="71"/>
  <c r="AC21" i="37"/>
  <c r="S18" i="35"/>
  <c r="C25" i="40"/>
  <c r="B57" i="43"/>
  <c r="R25" i="77"/>
  <c r="R5" i="77" s="1"/>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6" i="67"/>
  <c r="C17" i="15"/>
  <c r="C14" i="15"/>
  <c r="C16" i="15"/>
  <c r="G1" i="73"/>
  <c r="E16" i="3" l="1"/>
  <c r="E223" i="3"/>
  <c r="E105" i="3"/>
  <c r="E493" i="3"/>
  <c r="E543" i="3"/>
  <c r="E486" i="3"/>
  <c r="AH6" i="3"/>
  <c r="E498" i="3"/>
  <c r="E483" i="3"/>
  <c r="E25" i="3"/>
  <c r="E178" i="3"/>
  <c r="E226" i="3"/>
  <c r="E346" i="3"/>
  <c r="E372" i="3"/>
  <c r="E60" i="3"/>
  <c r="E540" i="3"/>
  <c r="E15" i="3"/>
  <c r="E79" i="3"/>
  <c r="E129" i="3"/>
  <c r="E220" i="3"/>
  <c r="E383" i="3"/>
  <c r="E36" i="3"/>
  <c r="E289" i="3"/>
  <c r="E80" i="3"/>
  <c r="E308" i="3"/>
  <c r="E539" i="3"/>
  <c r="E148" i="3"/>
  <c r="E199" i="3"/>
  <c r="E575" i="3"/>
  <c r="R6" i="3"/>
  <c r="E442" i="3"/>
  <c r="E541" i="3"/>
  <c r="E449" i="3"/>
  <c r="I3" i="6"/>
  <c r="E554" i="3"/>
  <c r="E435" i="3"/>
  <c r="E417" i="3"/>
  <c r="E56" i="3"/>
  <c r="E95" i="3"/>
  <c r="E132" i="3"/>
  <c r="E258" i="3"/>
  <c r="E349" i="3"/>
  <c r="E544" i="3"/>
  <c r="E59" i="3"/>
  <c r="E484" i="3"/>
  <c r="E47" i="3"/>
  <c r="E65" i="3"/>
  <c r="E195" i="3"/>
  <c r="E248" i="3"/>
  <c r="E266" i="3"/>
  <c r="E386" i="3"/>
  <c r="E584" i="3"/>
  <c r="E24" i="3"/>
  <c r="E87" i="3"/>
  <c r="E250" i="3"/>
  <c r="E341" i="3"/>
  <c r="E222" i="3"/>
  <c r="E373" i="3"/>
  <c r="E78" i="3"/>
  <c r="E219" i="3"/>
  <c r="E251" i="3"/>
  <c r="E20" i="3"/>
  <c r="E265" i="3"/>
  <c r="E77" i="3"/>
  <c r="E181" i="3"/>
  <c r="AK6" i="3"/>
  <c r="K6" i="3"/>
  <c r="E472" i="3"/>
  <c r="E465" i="3"/>
  <c r="E577" i="3"/>
  <c r="E454" i="3"/>
  <c r="E146" i="3"/>
  <c r="E214" i="3"/>
  <c r="E362" i="3"/>
  <c r="E227" i="3"/>
  <c r="E327" i="3"/>
  <c r="AO6" i="3"/>
  <c r="E400" i="3"/>
  <c r="E557" i="3"/>
  <c r="E489" i="3"/>
  <c r="E70" i="3"/>
  <c r="E211" i="3"/>
  <c r="E377" i="3"/>
  <c r="E109" i="3"/>
  <c r="E366" i="3"/>
  <c r="E282" i="3"/>
  <c r="E239" i="3"/>
  <c r="E569" i="3"/>
  <c r="E229" i="3"/>
  <c r="E358" i="3"/>
  <c r="E551" i="3"/>
  <c r="E407" i="3"/>
  <c r="E294" i="3"/>
  <c r="E130" i="3"/>
  <c r="E260" i="3"/>
  <c r="E117" i="3"/>
  <c r="E61" i="3"/>
  <c r="E518" i="3"/>
  <c r="E336" i="3"/>
  <c r="E136" i="3"/>
  <c r="E306" i="3"/>
  <c r="E224" i="3"/>
  <c r="E532" i="3"/>
  <c r="E474" i="3"/>
  <c r="E288" i="3"/>
  <c r="E537" i="3"/>
  <c r="E475" i="3"/>
  <c r="E257" i="3"/>
  <c r="E14" i="3"/>
  <c r="E397" i="3"/>
  <c r="E207" i="3"/>
  <c r="E379" i="3"/>
  <c r="E411" i="3"/>
  <c r="E432" i="3"/>
  <c r="E547" i="3"/>
  <c r="E546" i="3"/>
  <c r="E317" i="3"/>
  <c r="E29" i="3"/>
  <c r="E319" i="3"/>
  <c r="E153" i="3"/>
  <c r="E328" i="3"/>
  <c r="E574" i="3"/>
  <c r="E285" i="3"/>
  <c r="E390" i="3"/>
  <c r="E523" i="3"/>
  <c r="E418" i="3"/>
  <c r="E321" i="3"/>
  <c r="E169" i="3"/>
  <c r="E304" i="3"/>
  <c r="E213" i="3"/>
  <c r="E302" i="3"/>
  <c r="E303" i="3"/>
  <c r="AN6" i="3"/>
  <c r="E280" i="3"/>
  <c r="E329" i="3"/>
  <c r="E188" i="3"/>
  <c r="E116" i="3"/>
  <c r="E393" i="3"/>
  <c r="E564" i="3"/>
  <c r="E427" i="3"/>
  <c r="E507" i="3"/>
  <c r="E440" i="3"/>
  <c r="E376" i="3"/>
  <c r="J6" i="3"/>
  <c r="E419" i="3"/>
  <c r="E401" i="3"/>
  <c r="E40" i="3"/>
  <c r="E108" i="3"/>
  <c r="E119" i="3"/>
  <c r="E242" i="3"/>
  <c r="E276" i="3"/>
  <c r="E333" i="3"/>
  <c r="L6" i="3"/>
  <c r="E43" i="3"/>
  <c r="E473" i="3"/>
  <c r="E522" i="3"/>
  <c r="E364" i="3"/>
  <c r="E158" i="3"/>
  <c r="E22" i="3"/>
  <c r="E536" i="3"/>
  <c r="E212" i="3"/>
  <c r="E286" i="3"/>
  <c r="E499" i="3"/>
  <c r="E502" i="3"/>
  <c r="E466" i="3"/>
  <c r="E430" i="3"/>
  <c r="E255" i="3"/>
  <c r="AP6" i="3"/>
  <c r="E517" i="3"/>
  <c r="E479" i="3"/>
  <c r="E152" i="3"/>
  <c r="E192" i="3"/>
  <c r="E241" i="3"/>
  <c r="E363" i="3"/>
  <c r="E389" i="3"/>
  <c r="E76" i="3"/>
  <c r="E409" i="3"/>
  <c r="E446" i="3"/>
  <c r="E98" i="3"/>
  <c r="E138" i="3"/>
  <c r="E209" i="3"/>
  <c r="E307" i="3"/>
  <c r="E354" i="3"/>
  <c r="E66" i="3"/>
  <c r="E48" i="3"/>
  <c r="E127" i="3"/>
  <c r="Y6" i="3"/>
  <c r="E19" i="3"/>
  <c r="E323" i="3"/>
  <c r="E82" i="3"/>
  <c r="E194" i="3"/>
  <c r="E339" i="3"/>
  <c r="E35" i="3"/>
  <c r="E206" i="3"/>
  <c r="AF6" i="3"/>
  <c r="E176" i="3"/>
  <c r="E524" i="3"/>
  <c r="E568" i="3"/>
  <c r="E545" i="3"/>
  <c r="E228" i="3"/>
  <c r="E133" i="3"/>
  <c r="E560" i="3"/>
  <c r="E587" i="3"/>
  <c r="E468" i="3"/>
  <c r="E106" i="3"/>
  <c r="E171" i="3"/>
  <c r="E315" i="3"/>
  <c r="E74" i="3"/>
  <c r="E368" i="3"/>
  <c r="E204" i="3"/>
  <c r="Z6" i="3"/>
  <c r="E485" i="3"/>
  <c r="E345" i="3"/>
  <c r="E531" i="3"/>
  <c r="E28" i="3"/>
  <c r="E273" i="3"/>
  <c r="E572" i="3"/>
  <c r="E125" i="3"/>
  <c r="E553" i="3"/>
  <c r="N6" i="3"/>
  <c r="E516" i="3"/>
  <c r="E396" i="3"/>
  <c r="E559" i="3"/>
  <c r="V6" i="3"/>
  <c r="E320" i="3"/>
  <c r="E230" i="3"/>
  <c r="E114" i="3"/>
  <c r="E395" i="3"/>
  <c r="E550" i="3"/>
  <c r="E290" i="3"/>
  <c r="E245" i="3"/>
  <c r="E293" i="3"/>
  <c r="E583" i="3"/>
  <c r="E352" i="3"/>
  <c r="E157" i="3"/>
  <c r="E313" i="3"/>
  <c r="E529" i="3"/>
  <c r="E438" i="3"/>
  <c r="W6" i="3"/>
  <c r="E471" i="3"/>
  <c r="E54" i="3"/>
  <c r="E208" i="3"/>
  <c r="E357" i="3"/>
  <c r="E93" i="3"/>
  <c r="E145" i="3"/>
  <c r="U6" i="3"/>
  <c r="E548" i="3"/>
  <c r="E367" i="3"/>
  <c r="E71" i="3"/>
  <c r="AM6" i="3"/>
  <c r="E501" i="3"/>
  <c r="O6" i="3"/>
  <c r="E359" i="3"/>
  <c r="S6" i="3"/>
  <c r="E506" i="3"/>
  <c r="E338" i="3"/>
  <c r="E298" i="3"/>
  <c r="E565" i="3"/>
  <c r="E17" i="3"/>
  <c r="E221" i="3"/>
  <c r="E402" i="3"/>
  <c r="E353" i="3"/>
  <c r="AA6" i="3"/>
  <c r="E142" i="3"/>
  <c r="E247" i="3"/>
  <c r="E318" i="3"/>
  <c r="E404" i="3"/>
  <c r="E107" i="3"/>
  <c r="E86" i="3"/>
  <c r="E72" i="3"/>
  <c r="E46" i="3"/>
  <c r="E172" i="3"/>
  <c r="E264" i="3"/>
  <c r="E380" i="3"/>
  <c r="E527" i="3"/>
  <c r="E205" i="3"/>
  <c r="E140" i="3"/>
  <c r="E173" i="3"/>
  <c r="E525" i="3"/>
  <c r="T6" i="3"/>
  <c r="E469" i="3"/>
  <c r="E408" i="3"/>
  <c r="E360" i="3"/>
  <c r="E497" i="3"/>
  <c r="E494" i="3"/>
  <c r="E470" i="3"/>
  <c r="E26" i="3"/>
  <c r="E41" i="3"/>
  <c r="E198" i="3"/>
  <c r="E225" i="3"/>
  <c r="E332" i="3"/>
  <c r="E356" i="3"/>
  <c r="E42" i="3"/>
  <c r="E428" i="3"/>
  <c r="E412" i="3"/>
  <c r="E96" i="3"/>
  <c r="E170" i="3"/>
  <c r="E275" i="3"/>
  <c r="E342" i="3"/>
  <c r="E112" i="3"/>
  <c r="E340" i="3"/>
  <c r="E113" i="3"/>
  <c r="E326" i="3"/>
  <c r="E165" i="3"/>
  <c r="E149" i="3"/>
  <c r="E141" i="3"/>
  <c r="AD6" i="3"/>
  <c r="E421" i="3"/>
  <c r="E487" i="3"/>
  <c r="E416" i="3"/>
  <c r="E374" i="3"/>
  <c r="E500" i="3"/>
  <c r="E413" i="3"/>
  <c r="E520" i="3"/>
  <c r="E90" i="3"/>
  <c r="E131" i="3"/>
  <c r="E155" i="3"/>
  <c r="E297" i="3"/>
  <c r="E348" i="3"/>
  <c r="E375" i="3"/>
  <c r="E58" i="3"/>
  <c r="E488" i="3"/>
  <c r="E425" i="3"/>
  <c r="E64" i="3"/>
  <c r="E160" i="3"/>
  <c r="E267" i="3"/>
  <c r="E300" i="3"/>
  <c r="E310" i="3"/>
  <c r="E23" i="3"/>
  <c r="E33" i="3"/>
  <c r="E184" i="3"/>
  <c r="E355" i="3"/>
  <c r="E68" i="3"/>
  <c r="E81" i="3"/>
  <c r="E283" i="3"/>
  <c r="E513" i="3"/>
  <c r="E137" i="3"/>
  <c r="E299" i="3"/>
  <c r="AQ6" i="3"/>
  <c r="E370" i="3"/>
  <c r="E62" i="3"/>
  <c r="E365" i="3"/>
  <c r="E238" i="3"/>
  <c r="E128" i="3"/>
  <c r="E120" i="3"/>
  <c r="E330" i="3"/>
  <c r="E481" i="3"/>
  <c r="E344" i="3"/>
  <c r="E429" i="3"/>
  <c r="E55" i="3"/>
  <c r="E203" i="3"/>
  <c r="E274" i="3"/>
  <c r="E580" i="3"/>
  <c r="I6" i="3"/>
  <c r="E252" i="3"/>
  <c r="E576" i="3"/>
  <c r="E448" i="3"/>
  <c r="E443" i="3"/>
  <c r="E581" i="3"/>
  <c r="E88" i="3"/>
  <c r="E166" i="3"/>
  <c r="E316" i="3"/>
  <c r="E480" i="3"/>
  <c r="E526" i="3"/>
  <c r="E322" i="3"/>
  <c r="E509" i="3"/>
  <c r="E431" i="3"/>
  <c r="E311" i="3"/>
  <c r="E570" i="3"/>
  <c r="AB6" i="3"/>
  <c r="E335" i="3"/>
  <c r="E189" i="3"/>
  <c r="E278" i="3"/>
  <c r="E445" i="3"/>
  <c r="E135" i="3"/>
  <c r="E263" i="3"/>
  <c r="E385" i="3"/>
  <c r="X6" i="3"/>
  <c r="E453" i="3"/>
  <c r="E314" i="3"/>
  <c r="E99" i="3"/>
  <c r="E193" i="3"/>
  <c r="E573" i="3"/>
  <c r="E457" i="3"/>
  <c r="E571" i="3"/>
  <c r="E433" i="3"/>
  <c r="E150" i="3"/>
  <c r="E351" i="3"/>
  <c r="E567" i="3"/>
  <c r="E269" i="3"/>
  <c r="E585" i="3"/>
  <c r="E478" i="3"/>
  <c r="E477" i="3"/>
  <c r="AS6" i="3"/>
  <c r="E447" i="3"/>
  <c r="E162" i="3"/>
  <c r="E210" i="3"/>
  <c r="E384" i="3"/>
  <c r="E441" i="3"/>
  <c r="E530" i="3"/>
  <c r="E305" i="3"/>
  <c r="E388" i="3"/>
  <c r="E410" i="3"/>
  <c r="E143" i="3"/>
  <c r="E533" i="3"/>
  <c r="E561" i="3"/>
  <c r="E439" i="3"/>
  <c r="E216" i="3"/>
  <c r="E261" i="3"/>
  <c r="E183" i="3"/>
  <c r="E503" i="3"/>
  <c r="E91" i="3"/>
  <c r="E301" i="3"/>
  <c r="E586" i="3"/>
  <c r="E399" i="3"/>
  <c r="E535" i="3"/>
  <c r="E456" i="3"/>
  <c r="E124" i="3"/>
  <c r="E334" i="3"/>
  <c r="E423" i="3"/>
  <c r="E521" i="3"/>
  <c r="E94" i="3"/>
  <c r="E84" i="3"/>
  <c r="E49" i="3"/>
  <c r="E39" i="3"/>
  <c r="E156" i="3"/>
  <c r="E243" i="3"/>
  <c r="E437" i="3"/>
  <c r="E510" i="3"/>
  <c r="E296" i="3"/>
  <c r="E197" i="3"/>
  <c r="E369" i="3"/>
  <c r="E534" i="3"/>
  <c r="E405" i="3"/>
  <c r="E512" i="3"/>
  <c r="E451" i="3"/>
  <c r="E556" i="3"/>
  <c r="E13" i="3"/>
  <c r="E452" i="3"/>
  <c r="E420" i="3"/>
  <c r="E104" i="3"/>
  <c r="E115" i="3"/>
  <c r="E139" i="3"/>
  <c r="E281" i="3"/>
  <c r="E391" i="3"/>
  <c r="AL6" i="3"/>
  <c r="E75" i="3"/>
  <c r="E482" i="3"/>
  <c r="E18" i="3"/>
  <c r="E100" i="3"/>
  <c r="E174" i="3"/>
  <c r="E324" i="3"/>
  <c r="E52" i="3"/>
  <c r="E147" i="3"/>
  <c r="E102" i="3"/>
  <c r="E287" i="3"/>
  <c r="E83" i="3"/>
  <c r="E244" i="3"/>
  <c r="E167" i="3"/>
  <c r="E312" i="3"/>
  <c r="E552" i="3"/>
  <c r="E464" i="3"/>
  <c r="E398" i="3"/>
  <c r="E459" i="3"/>
  <c r="E566" i="3"/>
  <c r="E582" i="3"/>
  <c r="E460" i="3"/>
  <c r="E436" i="3"/>
  <c r="E57" i="3"/>
  <c r="E187" i="3"/>
  <c r="E240" i="3"/>
  <c r="E259" i="3"/>
  <c r="E378" i="3"/>
  <c r="E504" i="3"/>
  <c r="E110" i="3"/>
  <c r="E462" i="3"/>
  <c r="E467" i="3"/>
  <c r="E103" i="3"/>
  <c r="E200" i="3"/>
  <c r="E249" i="3"/>
  <c r="E371" i="3"/>
  <c r="E492" i="3"/>
  <c r="E67" i="3"/>
  <c r="E144" i="3"/>
  <c r="E233" i="3"/>
  <c r="E381" i="3"/>
  <c r="E63" i="3"/>
  <c r="E118" i="3"/>
  <c r="E309" i="3"/>
  <c r="E21" i="3"/>
  <c r="E234" i="3"/>
  <c r="E325" i="3"/>
  <c r="E232" i="3"/>
  <c r="E50" i="3"/>
  <c r="E218" i="3"/>
  <c r="E101" i="3"/>
  <c r="E434" i="3"/>
  <c r="E262" i="3"/>
  <c r="E177" i="3"/>
  <c r="Q6" i="3"/>
  <c r="E424" i="3"/>
  <c r="AE6" i="3"/>
  <c r="E496" i="3"/>
  <c r="E73" i="3"/>
  <c r="E256" i="3"/>
  <c r="E394" i="3"/>
  <c r="E32" i="3"/>
  <c r="E236" i="3"/>
  <c r="E164" i="3"/>
  <c r="AG6" i="3"/>
  <c r="P6" i="3"/>
  <c r="E558" i="3"/>
  <c r="E444" i="3"/>
  <c r="E121" i="3"/>
  <c r="E295" i="3"/>
  <c r="E30" i="3"/>
  <c r="E217" i="3"/>
  <c r="E268" i="3"/>
  <c r="AJ6" i="3"/>
  <c r="E579" i="3"/>
  <c r="E201" i="3"/>
  <c r="E514" i="3"/>
  <c r="M6" i="3"/>
  <c r="E387" i="3"/>
  <c r="E215" i="3"/>
  <c r="E69" i="3"/>
  <c r="E563" i="3"/>
  <c r="E161" i="3"/>
  <c r="E191" i="3"/>
  <c r="AI6" i="3"/>
  <c r="E246" i="3"/>
  <c r="E253" i="3"/>
  <c r="E85" i="3"/>
  <c r="E511" i="3"/>
  <c r="E45" i="3"/>
  <c r="E519" i="3"/>
  <c r="E458" i="3"/>
  <c r="E562" i="3"/>
  <c r="E450" i="3"/>
  <c r="E111" i="3"/>
  <c r="E279" i="3"/>
  <c r="E31" i="3"/>
  <c r="E549" i="3"/>
  <c r="E271" i="3"/>
  <c r="E515" i="3"/>
  <c r="E414" i="3"/>
  <c r="E505" i="3"/>
  <c r="E476" i="3"/>
  <c r="E27" i="3"/>
  <c r="E186" i="3"/>
  <c r="E331" i="3"/>
  <c r="E44" i="3"/>
  <c r="E175" i="3"/>
  <c r="E343" i="3"/>
  <c r="E508" i="3"/>
  <c r="E555" i="3"/>
  <c r="E337" i="3"/>
  <c r="E270" i="3"/>
  <c r="AR6" i="3"/>
  <c r="E538" i="3"/>
  <c r="E231" i="3"/>
  <c r="E185" i="3"/>
  <c r="E528" i="3"/>
  <c r="E361" i="3"/>
  <c r="E180" i="3"/>
  <c r="E134" i="3"/>
  <c r="E350" i="3"/>
  <c r="E495" i="3"/>
  <c r="E347" i="3"/>
  <c r="E542" i="3"/>
  <c r="E92" i="3"/>
  <c r="E51" i="3"/>
  <c r="E38" i="3"/>
  <c r="E202" i="3"/>
  <c r="E182" i="3"/>
  <c r="E179" i="3"/>
  <c r="E163" i="3"/>
  <c r="E159" i="3"/>
  <c r="T60" i="71"/>
  <c r="D60" i="71"/>
  <c r="E122" i="3"/>
  <c r="E292" i="3"/>
  <c r="E277" i="3"/>
  <c r="E491" i="3"/>
  <c r="E463" i="3"/>
  <c r="E461" i="3"/>
  <c r="E422" i="3"/>
  <c r="E415" i="3"/>
  <c r="E406" i="3"/>
  <c r="E403" i="3"/>
  <c r="E237" i="3"/>
  <c r="U12" i="35"/>
  <c r="AB12" i="35"/>
  <c r="AC34" i="21"/>
  <c r="W34" i="21"/>
  <c r="E30" i="6"/>
  <c r="J7" i="21"/>
  <c r="H7" i="21"/>
  <c r="C26" i="71"/>
  <c r="D26" i="71" s="1"/>
  <c r="D27" i="71"/>
  <c r="E97" i="3"/>
  <c r="E89" i="3"/>
  <c r="E53" i="3"/>
  <c r="E37" i="3"/>
  <c r="E34" i="3"/>
  <c r="AZ22" i="3"/>
  <c r="AZ5" i="3" s="1"/>
  <c r="BA5" i="3"/>
  <c r="E27" i="6" s="1"/>
  <c r="E196" i="3"/>
  <c r="E190" i="3"/>
  <c r="E168" i="3"/>
  <c r="E154" i="3"/>
  <c r="E151" i="3"/>
  <c r="E126" i="3"/>
  <c r="E123" i="3"/>
  <c r="E291" i="3"/>
  <c r="E284" i="3"/>
  <c r="E272" i="3"/>
  <c r="E254" i="3"/>
  <c r="E490" i="3"/>
  <c r="E455" i="3"/>
  <c r="E426" i="3"/>
  <c r="E578" i="3"/>
  <c r="AB38" i="40"/>
  <c r="U38" i="40"/>
  <c r="AA26" i="37"/>
  <c r="S26" i="37"/>
  <c r="E235" i="3"/>
  <c r="E392" i="3"/>
  <c r="E382" i="3"/>
  <c r="S12" i="35"/>
  <c r="AA12" i="35"/>
  <c r="S36" i="21"/>
  <c r="AA36" i="21"/>
  <c r="U36" i="21"/>
  <c r="AB36" i="21"/>
  <c r="L19" i="6"/>
  <c r="L27" i="6" s="1"/>
  <c r="K15" i="1"/>
  <c r="AB34" i="21"/>
  <c r="U34" i="21"/>
  <c r="C15" i="12"/>
  <c r="C49" i="15"/>
  <c r="B40" i="1"/>
  <c r="F24" i="15" s="1"/>
  <c r="C24" i="15" s="1"/>
  <c r="E58" i="40"/>
  <c r="E62" i="39"/>
  <c r="F7" i="35"/>
  <c r="F7" i="34"/>
  <c r="S7" i="34" s="1"/>
  <c r="G67" i="39"/>
  <c r="F69" i="39"/>
  <c r="E63" i="40"/>
  <c r="D65" i="40"/>
  <c r="C49" i="67"/>
  <c r="C15" i="15"/>
  <c r="C18" i="15"/>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G58" i="33"/>
  <c r="H58" i="33" s="1"/>
  <c r="I58" i="33" s="1"/>
  <c r="J58" i="33" s="1"/>
  <c r="K58" i="33" s="1"/>
  <c r="L58" i="33" s="1"/>
  <c r="M58" i="33" s="1"/>
  <c r="N58" i="33" s="1"/>
  <c r="O58" i="33" s="1"/>
  <c r="G46" i="36"/>
  <c r="AC7" i="21"/>
  <c r="W7" i="21"/>
  <c r="AB7" i="21"/>
  <c r="T48" i="21" s="1"/>
  <c r="G48" i="21" s="1"/>
  <c r="U7" i="21"/>
  <c r="S7" i="35"/>
  <c r="AA7" i="35"/>
  <c r="R38" i="35" s="1"/>
  <c r="AA7" i="34"/>
  <c r="R49" i="34" s="1"/>
  <c r="Q73" i="67"/>
  <c r="Q60" i="67"/>
  <c r="Q74" i="67"/>
  <c r="Q61" i="67"/>
  <c r="M17" i="15"/>
  <c r="J17" i="15" s="1"/>
  <c r="C31" i="15"/>
  <c r="Q61" i="15"/>
  <c r="Q74" i="15"/>
  <c r="Q57" i="67"/>
  <c r="Q66" i="67"/>
  <c r="F59" i="67"/>
  <c r="T56" i="71"/>
  <c r="D56" i="71"/>
  <c r="E38" i="77"/>
  <c r="E39" i="77" s="1"/>
  <c r="C40" i="77" s="1"/>
  <c r="E29" i="77"/>
  <c r="E26" i="77"/>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7" i="34"/>
  <c r="H7" i="34"/>
  <c r="F1" i="15"/>
  <c r="Q52" i="15"/>
  <c r="F59" i="15"/>
  <c r="F11" i="15"/>
  <c r="M11" i="67"/>
  <c r="J10" i="67" s="1"/>
  <c r="J5" i="67" s="1"/>
  <c r="M11" i="15"/>
  <c r="J10" i="15" s="1"/>
  <c r="J5" i="15" s="1"/>
  <c r="F11" i="67"/>
  <c r="C53" i="67" s="1"/>
  <c r="C31" i="67"/>
  <c r="J18" i="67"/>
  <c r="J19" i="67"/>
  <c r="J17" i="67"/>
  <c r="Q73" i="15"/>
  <c r="Q60" i="15"/>
  <c r="AE6" i="1"/>
  <c r="AY6" i="3" l="1"/>
  <c r="E3" i="6"/>
  <c r="E32" i="77"/>
  <c r="E31" i="6"/>
  <c r="K20" i="6"/>
  <c r="M20" i="6" s="1"/>
  <c r="I20" i="6" s="1"/>
  <c r="S20" i="6" s="1"/>
  <c r="K21" i="6"/>
  <c r="M21" i="6" s="1"/>
  <c r="I21" i="6" s="1"/>
  <c r="S21" i="6" s="1"/>
  <c r="K23" i="6"/>
  <c r="M23" i="6" s="1"/>
  <c r="I23" i="6" s="1"/>
  <c r="S23" i="6" s="1"/>
  <c r="K22" i="6"/>
  <c r="M22" i="6" s="1"/>
  <c r="I22" i="6" s="1"/>
  <c r="S22" i="6" s="1"/>
  <c r="K24" i="6"/>
  <c r="M24" i="6" s="1"/>
  <c r="I24" i="6" s="1"/>
  <c r="S24" i="6" s="1"/>
  <c r="K26" i="6"/>
  <c r="M26" i="6" s="1"/>
  <c r="I26" i="6" s="1"/>
  <c r="S26" i="6" s="1"/>
  <c r="K25" i="6"/>
  <c r="M25" i="6" s="1"/>
  <c r="I25" i="6" s="1"/>
  <c r="S25" i="6" s="1"/>
  <c r="K19" i="6"/>
  <c r="C59" i="15"/>
  <c r="F24" i="67"/>
  <c r="C24" i="67" s="1"/>
  <c r="F22" i="68"/>
  <c r="F41" i="68" s="1"/>
  <c r="L36" i="43"/>
  <c r="N36" i="43" s="1"/>
  <c r="F22" i="11"/>
  <c r="C23" i="11" s="1"/>
  <c r="F22" i="69"/>
  <c r="F41" i="69" s="1"/>
  <c r="F25" i="12"/>
  <c r="C26" i="12" s="1"/>
  <c r="D25" i="12" s="1"/>
  <c r="E65" i="40"/>
  <c r="F63" i="40"/>
  <c r="G69" i="39"/>
  <c r="H67" i="39"/>
  <c r="C19" i="15"/>
  <c r="C20" i="15" s="1"/>
  <c r="C59" i="67"/>
  <c r="C48" i="67"/>
  <c r="C66" i="67" s="1"/>
  <c r="C41" i="77"/>
  <c r="B2" i="77"/>
  <c r="B3" i="77" s="1"/>
  <c r="J24" i="15"/>
  <c r="J26" i="15"/>
  <c r="J29" i="15" s="1"/>
  <c r="J24" i="67"/>
  <c r="J26" i="67"/>
  <c r="C44" i="11"/>
  <c r="D41" i="11" s="1"/>
  <c r="W7" i="34"/>
  <c r="AC7" i="34"/>
  <c r="V49" i="34" s="1"/>
  <c r="I49" i="34" s="1"/>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G52" i="21"/>
  <c r="H52" i="21" s="1"/>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10" i="67"/>
  <c r="C5" i="67" s="1"/>
  <c r="C10" i="15"/>
  <c r="C5" i="15" s="1"/>
  <c r="C53" i="15"/>
  <c r="C48" i="15" s="1"/>
  <c r="AB7" i="34"/>
  <c r="T49" i="34" s="1"/>
  <c r="G49" i="34" s="1"/>
  <c r="U7" i="34"/>
  <c r="U7" i="35"/>
  <c r="AB7" i="35"/>
  <c r="T38" i="35" s="1"/>
  <c r="G38" i="35" s="1"/>
  <c r="E6" i="3"/>
  <c r="C38" i="69"/>
  <c r="C35" i="69"/>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S6" i="1" l="1"/>
  <c r="M19" i="6"/>
  <c r="K27" i="6"/>
  <c r="C26" i="68"/>
  <c r="D22" i="68" s="1"/>
  <c r="O36" i="43"/>
  <c r="C44" i="68"/>
  <c r="D41" i="68" s="1"/>
  <c r="C26" i="11"/>
  <c r="D22" i="11" s="1"/>
  <c r="M36" i="43"/>
  <c r="L37" i="43"/>
  <c r="N37" i="43" s="1"/>
  <c r="C26" i="69"/>
  <c r="D22" i="69" s="1"/>
  <c r="Q36" i="43"/>
  <c r="P36" i="43"/>
  <c r="C44" i="69"/>
  <c r="D41" i="69" s="1"/>
  <c r="C23" i="68"/>
  <c r="I67" i="39"/>
  <c r="H69" i="39"/>
  <c r="F65" i="40"/>
  <c r="G63" i="40"/>
  <c r="F69" i="67"/>
  <c r="J29" i="67"/>
  <c r="C26" i="15"/>
  <c r="C23" i="15"/>
  <c r="E48" i="2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E54" i="34"/>
  <c r="F54" i="34" s="1"/>
  <c r="E53" i="34"/>
  <c r="F53" i="34" s="1"/>
  <c r="I43" i="35"/>
  <c r="J43" i="35" s="1"/>
  <c r="I42" i="35"/>
  <c r="J42" i="35" s="1"/>
  <c r="D25" i="6"/>
  <c r="D22" i="6"/>
  <c r="D24" i="6"/>
  <c r="D26" i="6"/>
  <c r="D14" i="6"/>
  <c r="D9" i="6"/>
  <c r="D29" i="6"/>
  <c r="H22" i="6"/>
  <c r="H24" i="6"/>
  <c r="D23" i="6"/>
  <c r="D12" i="6"/>
  <c r="D13" i="6"/>
  <c r="H26" i="6"/>
  <c r="H20" i="6"/>
  <c r="D15" i="6"/>
  <c r="D21" i="6"/>
  <c r="D20" i="6"/>
  <c r="D8" i="6"/>
  <c r="D6" i="6"/>
  <c r="D10" i="6"/>
  <c r="H25" i="6"/>
  <c r="H21" i="6"/>
  <c r="D19" i="6"/>
  <c r="C18" i="4"/>
  <c r="D5" i="6"/>
  <c r="D11" i="6"/>
  <c r="D28" i="6"/>
  <c r="E61" i="40"/>
  <c r="H23" i="6"/>
  <c r="E43" i="35"/>
  <c r="F43" i="35" s="1"/>
  <c r="E42" i="35"/>
  <c r="F42" i="35" s="1"/>
  <c r="AC7" i="33"/>
  <c r="V48" i="33" s="1"/>
  <c r="I48" i="33" s="1"/>
  <c r="W7" i="33"/>
  <c r="N16" i="1"/>
  <c r="L16" i="1"/>
  <c r="C34" i="68"/>
  <c r="C34" i="11"/>
  <c r="G43" i="35"/>
  <c r="H43" i="35" s="1"/>
  <c r="G42" i="35"/>
  <c r="H42" i="35" s="1"/>
  <c r="C66" i="15"/>
  <c r="C38" i="67"/>
  <c r="D17" i="12"/>
  <c r="C17" i="12" s="1"/>
  <c r="C14" i="12"/>
  <c r="C16" i="12" s="1"/>
  <c r="G37" i="43"/>
  <c r="I37" i="43" s="1"/>
  <c r="E37" i="43"/>
  <c r="G40" i="43"/>
  <c r="I40" i="43" s="1"/>
  <c r="E40" i="43"/>
  <c r="E41" i="43"/>
  <c r="G41" i="43"/>
  <c r="I41" i="43" s="1"/>
  <c r="C49" i="34"/>
  <c r="C50" i="34"/>
  <c r="W26" i="21"/>
  <c r="AC26" i="21"/>
  <c r="V48" i="21" s="1"/>
  <c r="I48" i="21" s="1"/>
  <c r="H52" i="37"/>
  <c r="G52" i="33"/>
  <c r="H52" i="33" s="1"/>
  <c r="G53" i="33"/>
  <c r="H53" i="33" s="1"/>
  <c r="C16" i="71"/>
  <c r="D17" i="71"/>
  <c r="I53" i="34"/>
  <c r="J53" i="34" s="1"/>
  <c r="I54" i="34"/>
  <c r="J54" i="34" s="1"/>
  <c r="C17" i="67"/>
  <c r="C14" i="67"/>
  <c r="C15" i="67" l="1"/>
  <c r="C18" i="67"/>
  <c r="R20" i="6"/>
  <c r="M27" i="6"/>
  <c r="I19" i="6"/>
  <c r="AQ6" i="1"/>
  <c r="AR6" i="1"/>
  <c r="E6" i="70"/>
  <c r="E2" i="70" s="1"/>
  <c r="T6" i="1"/>
  <c r="T16" i="1" s="1"/>
  <c r="S16" i="1"/>
  <c r="P37" i="43"/>
  <c r="M37" i="43"/>
  <c r="Q37" i="43"/>
  <c r="O37" i="43"/>
  <c r="R25" i="6"/>
  <c r="H63" i="40"/>
  <c r="G65" i="40"/>
  <c r="I69" i="39"/>
  <c r="J67" i="39"/>
  <c r="C29" i="15"/>
  <c r="C57" i="15" s="1"/>
  <c r="C64" i="15" s="1"/>
  <c r="C22" i="11"/>
  <c r="I52" i="21"/>
  <c r="J52" i="21" s="1"/>
  <c r="I53" i="21"/>
  <c r="J53" i="21" s="1"/>
  <c r="G53" i="21"/>
  <c r="H53" i="21" s="1"/>
  <c r="C21" i="12"/>
  <c r="C38" i="68"/>
  <c r="C35" i="68"/>
  <c r="F50" i="69"/>
  <c r="F50" i="68"/>
  <c r="F50" i="11"/>
  <c r="I52" i="33"/>
  <c r="J52" i="33" s="1"/>
  <c r="D30" i="6"/>
  <c r="M19" i="9"/>
  <c r="C118" i="9" s="1"/>
  <c r="D27" i="6"/>
  <c r="D31" i="6" s="1"/>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4" i="52"/>
  <c r="B45" i="72" s="1"/>
  <c r="A10" i="51"/>
  <c r="B9" i="72" s="1"/>
  <c r="A7" i="51"/>
  <c r="B7" i="72" s="1"/>
  <c r="D16" i="6"/>
  <c r="R21" i="6"/>
  <c r="R24" i="6"/>
  <c r="C31" i="43"/>
  <c r="C10" i="69"/>
  <c r="C8" i="69" s="1"/>
  <c r="C5" i="69" s="1"/>
  <c r="D19" i="69"/>
  <c r="J46" i="36"/>
  <c r="R49" i="21"/>
  <c r="H7" i="37"/>
  <c r="E6" i="76"/>
  <c r="C19" i="67" l="1"/>
  <c r="C20" i="67" s="1"/>
  <c r="S19" i="6"/>
  <c r="S27" i="6" s="1"/>
  <c r="L18" i="9"/>
  <c r="I27" i="6"/>
  <c r="H19" i="6"/>
  <c r="C31" i="11"/>
  <c r="K67" i="39"/>
  <c r="J69" i="39"/>
  <c r="C33" i="11"/>
  <c r="C39" i="11" s="1"/>
  <c r="C43" i="11" s="1"/>
  <c r="I63" i="40"/>
  <c r="H65" i="40"/>
  <c r="Q49" i="15"/>
  <c r="C13" i="15"/>
  <c r="C56" i="15" s="1"/>
  <c r="C65" i="15" s="1"/>
  <c r="C58" i="15" s="1"/>
  <c r="C67" i="15" s="1"/>
  <c r="C68" i="15" s="1"/>
  <c r="C71" i="15" s="1"/>
  <c r="J14" i="15"/>
  <c r="C36" i="15"/>
  <c r="J59" i="15"/>
  <c r="J60" i="15" s="1"/>
  <c r="E2" i="76"/>
  <c r="K46" i="36"/>
  <c r="L46" i="36" s="1"/>
  <c r="M46" i="36" s="1"/>
  <c r="N46" i="36" s="1"/>
  <c r="O46" i="36" s="1"/>
  <c r="F7" i="36" s="1"/>
  <c r="C23" i="69"/>
  <c r="E53" i="33"/>
  <c r="F53" i="33" s="1"/>
  <c r="E52" i="33"/>
  <c r="F52" i="33" s="1"/>
  <c r="C19" i="68"/>
  <c r="D37" i="68"/>
  <c r="C37" i="68" s="1"/>
  <c r="C33" i="68" s="1"/>
  <c r="C49" i="21"/>
  <c r="C48" i="21"/>
  <c r="H7" i="36"/>
  <c r="C19" i="69"/>
  <c r="C24" i="69" s="1"/>
  <c r="D37" i="69"/>
  <c r="C37" i="69" s="1"/>
  <c r="C33" i="69" s="1"/>
  <c r="J7" i="37"/>
  <c r="C14" i="71"/>
  <c r="D15" i="71"/>
  <c r="C48" i="33"/>
  <c r="C49" i="33"/>
  <c r="B2" i="43"/>
  <c r="I6" i="6"/>
  <c r="I5" i="6"/>
  <c r="I53" i="33"/>
  <c r="J53" i="33" s="1"/>
  <c r="U7" i="37"/>
  <c r="AB7" i="37"/>
  <c r="T42" i="37" s="1"/>
  <c r="G42" i="37" s="1"/>
  <c r="C22" i="12"/>
  <c r="C30" i="12" s="1"/>
  <c r="C28" i="12" s="1"/>
  <c r="F7" i="37"/>
  <c r="B6" i="76"/>
  <c r="C26" i="67" l="1"/>
  <c r="C23" i="67"/>
  <c r="H27" i="6"/>
  <c r="R19" i="6"/>
  <c r="L19" i="9"/>
  <c r="C42" i="11"/>
  <c r="C41" i="11" s="1"/>
  <c r="L67" i="39"/>
  <c r="K69" i="39"/>
  <c r="J7" i="36"/>
  <c r="AC7" i="36" s="1"/>
  <c r="V36" i="36" s="1"/>
  <c r="I36" i="36" s="1"/>
  <c r="C46" i="11"/>
  <c r="C45" i="11" s="1"/>
  <c r="J63" i="40"/>
  <c r="I65" i="40"/>
  <c r="C75" i="15"/>
  <c r="C37" i="15"/>
  <c r="C30" i="15" s="1"/>
  <c r="C39" i="15" s="1"/>
  <c r="C40" i="15" s="1"/>
  <c r="C46" i="15" s="1"/>
  <c r="Q70" i="15"/>
  <c r="Q48" i="15"/>
  <c r="L46" i="15"/>
  <c r="J13" i="15"/>
  <c r="J23" i="15" s="1"/>
  <c r="J22" i="15"/>
  <c r="C27" i="12"/>
  <c r="C25" i="12" s="1"/>
  <c r="C32" i="12" s="1"/>
  <c r="B2" i="12" s="1"/>
  <c r="B3" i="12" s="1"/>
  <c r="B2" i="76"/>
  <c r="B3" i="76" s="1"/>
  <c r="G46" i="37"/>
  <c r="H46" i="37" s="1"/>
  <c r="AA7" i="37"/>
  <c r="R42" i="37" s="1"/>
  <c r="S7" i="37"/>
  <c r="B3" i="43"/>
  <c r="AC7" i="37"/>
  <c r="V42" i="37" s="1"/>
  <c r="I42" i="37" s="1"/>
  <c r="W7" i="37"/>
  <c r="B3" i="21"/>
  <c r="B2" i="21"/>
  <c r="C24" i="68"/>
  <c r="C20" i="68"/>
  <c r="C25" i="68" s="1"/>
  <c r="C20" i="69"/>
  <c r="C25" i="69" s="1"/>
  <c r="C22" i="69" s="1"/>
  <c r="S7" i="36"/>
  <c r="AA7" i="36"/>
  <c r="R36" i="36" s="1"/>
  <c r="C13" i="71"/>
  <c r="D14" i="71"/>
  <c r="C39" i="69"/>
  <c r="C43" i="69" s="1"/>
  <c r="C42" i="69"/>
  <c r="AB7" i="36"/>
  <c r="T36" i="36" s="1"/>
  <c r="G36" i="36" s="1"/>
  <c r="U7" i="36"/>
  <c r="C42" i="68"/>
  <c r="C39" i="68"/>
  <c r="C43" i="68" s="1"/>
  <c r="C19" i="9"/>
  <c r="C20" i="9"/>
  <c r="C29" i="67" l="1"/>
  <c r="W7" i="36"/>
  <c r="R6" i="1"/>
  <c r="R27" i="6"/>
  <c r="C49" i="11"/>
  <c r="C51" i="11" s="1"/>
  <c r="C52" i="11" s="1"/>
  <c r="B2" i="11" s="1"/>
  <c r="B3" i="11" s="1"/>
  <c r="B2" i="15"/>
  <c r="B3" i="15" s="1"/>
  <c r="J65" i="40"/>
  <c r="K63" i="40"/>
  <c r="M67" i="39"/>
  <c r="L69" i="39"/>
  <c r="C83" i="15"/>
  <c r="C82" i="15" s="1"/>
  <c r="C43" i="15"/>
  <c r="Q69" i="15"/>
  <c r="Q68" i="15" s="1"/>
  <c r="C80" i="15"/>
  <c r="C79" i="15" s="1"/>
  <c r="J16" i="15"/>
  <c r="J25" i="15" s="1"/>
  <c r="Q65" i="15"/>
  <c r="Q56" i="15"/>
  <c r="Q47" i="15"/>
  <c r="Q53" i="15" s="1"/>
  <c r="C41" i="69"/>
  <c r="C46" i="69"/>
  <c r="C45" i="69" s="1"/>
  <c r="C28" i="69"/>
  <c r="C27" i="69" s="1"/>
  <c r="C31" i="69" s="1"/>
  <c r="C46" i="68"/>
  <c r="C45" i="68" s="1"/>
  <c r="C103" i="9"/>
  <c r="C21" i="9"/>
  <c r="C102" i="9"/>
  <c r="C28" i="68"/>
  <c r="C27" i="68" s="1"/>
  <c r="I46" i="37"/>
  <c r="J46" i="37" s="1"/>
  <c r="G47" i="37"/>
  <c r="H47" i="37" s="1"/>
  <c r="I40" i="36"/>
  <c r="J40" i="36" s="1"/>
  <c r="G40" i="36"/>
  <c r="H40" i="36" s="1"/>
  <c r="G41" i="36"/>
  <c r="H41" i="36" s="1"/>
  <c r="D13" i="71"/>
  <c r="C12" i="71"/>
  <c r="C41" i="68"/>
  <c r="R37" i="36"/>
  <c r="E36" i="36"/>
  <c r="C22" i="68"/>
  <c r="R43" i="37"/>
  <c r="E42" i="37"/>
  <c r="M21" i="67"/>
  <c r="F35" i="67"/>
  <c r="L51" i="15"/>
  <c r="J14" i="67" l="1"/>
  <c r="Q49" i="67"/>
  <c r="C36" i="67"/>
  <c r="C57" i="67"/>
  <c r="C64" i="67" s="1"/>
  <c r="C13" i="67"/>
  <c r="F63" i="67"/>
  <c r="J20" i="67"/>
  <c r="R16" i="1"/>
  <c r="C49" i="68"/>
  <c r="C51" i="68" s="1"/>
  <c r="Q67" i="15"/>
  <c r="L57" i="15"/>
  <c r="L60" i="15" s="1"/>
  <c r="Q57" i="15" s="1"/>
  <c r="Q62" i="15" s="1"/>
  <c r="C56" i="11"/>
  <c r="C57" i="11" s="1"/>
  <c r="M69" i="39"/>
  <c r="N67" i="39"/>
  <c r="L63" i="40"/>
  <c r="K65" i="40"/>
  <c r="C31" i="68"/>
  <c r="C49" i="69"/>
  <c r="C51" i="69" s="1"/>
  <c r="C52" i="69" s="1"/>
  <c r="L57" i="67"/>
  <c r="C42" i="37"/>
  <c r="C43" i="37"/>
  <c r="E40" i="36"/>
  <c r="F40" i="36" s="1"/>
  <c r="E41" i="36"/>
  <c r="F41" i="36" s="1"/>
  <c r="E47" i="37"/>
  <c r="F47" i="37" s="1"/>
  <c r="E46" i="37"/>
  <c r="F46" i="37" s="1"/>
  <c r="C37" i="36"/>
  <c r="C36" i="36"/>
  <c r="C11" i="71"/>
  <c r="D12" i="71"/>
  <c r="U12" i="71" s="1"/>
  <c r="T12" i="71"/>
  <c r="I41" i="36"/>
  <c r="J41" i="36" s="1"/>
  <c r="I47" i="37"/>
  <c r="J47" i="37" s="1"/>
  <c r="Q70" i="67" l="1"/>
  <c r="C37" i="67"/>
  <c r="C30" i="67" s="1"/>
  <c r="C39" i="67" s="1"/>
  <c r="C75" i="67"/>
  <c r="C56" i="67"/>
  <c r="C65" i="67" s="1"/>
  <c r="C58" i="67" s="1"/>
  <c r="C67" i="67" s="1"/>
  <c r="C68" i="67" s="1"/>
  <c r="C71" i="67" s="1"/>
  <c r="J22" i="67"/>
  <c r="J13" i="67"/>
  <c r="J23" i="67" s="1"/>
  <c r="Q66" i="15"/>
  <c r="Q75" i="15" s="1"/>
  <c r="C52" i="68"/>
  <c r="B2" i="68" s="1"/>
  <c r="B3" i="68" s="1"/>
  <c r="L65" i="40"/>
  <c r="M63" i="40"/>
  <c r="N69" i="39"/>
  <c r="O67" i="39"/>
  <c r="O69" i="39" s="1"/>
  <c r="B2" i="69"/>
  <c r="B3" i="69" s="1"/>
  <c r="C57" i="69"/>
  <c r="C56" i="69" s="1"/>
  <c r="C10" i="71"/>
  <c r="D11" i="71"/>
  <c r="L51" i="67"/>
  <c r="Q67" i="67" l="1"/>
  <c r="J16" i="67"/>
  <c r="J25" i="67" s="1"/>
  <c r="C40" i="67"/>
  <c r="Q69" i="67"/>
  <c r="Q68" i="67" s="1"/>
  <c r="C80" i="67"/>
  <c r="C79" i="67" s="1"/>
  <c r="C57" i="68"/>
  <c r="C56" i="68" s="1"/>
  <c r="F7" i="39"/>
  <c r="J7" i="39"/>
  <c r="H7" i="39"/>
  <c r="N63" i="40"/>
  <c r="M65" i="40"/>
  <c r="C9" i="71"/>
  <c r="D10" i="71"/>
  <c r="C45" i="67" l="1"/>
  <c r="C46" i="67" s="1"/>
  <c r="Q56" i="67"/>
  <c r="Q62" i="67" s="1"/>
  <c r="Q47" i="67"/>
  <c r="Q53" i="67" s="1"/>
  <c r="Q65" i="67"/>
  <c r="Q75" i="67" s="1"/>
  <c r="D2" i="67"/>
  <c r="C43" i="67"/>
  <c r="C83" i="67"/>
  <c r="C82" i="67" s="1"/>
  <c r="U7" i="39"/>
  <c r="AB7" i="39"/>
  <c r="T47" i="39" s="1"/>
  <c r="G47" i="39" s="1"/>
  <c r="S7" i="39"/>
  <c r="AA7" i="39"/>
  <c r="R47" i="39" s="1"/>
  <c r="N65" i="40"/>
  <c r="O63" i="40"/>
  <c r="O65" i="40" s="1"/>
  <c r="W7" i="39"/>
  <c r="AC7" i="39"/>
  <c r="V47" i="39" s="1"/>
  <c r="I47" i="39" s="1"/>
  <c r="F7" i="40"/>
  <c r="D9" i="71"/>
  <c r="C8" i="71"/>
  <c r="B2" i="67" l="1"/>
  <c r="B3" i="67"/>
  <c r="AA7" i="40"/>
  <c r="R42" i="40" s="1"/>
  <c r="S7" i="40"/>
  <c r="I51" i="39"/>
  <c r="J51" i="39" s="1"/>
  <c r="J7" i="40"/>
  <c r="R48" i="39"/>
  <c r="E47" i="39"/>
  <c r="G51" i="39"/>
  <c r="H51" i="39" s="1"/>
  <c r="G52" i="39"/>
  <c r="H52" i="39" s="1"/>
  <c r="H7" i="40"/>
  <c r="C7" i="71"/>
  <c r="D8" i="71"/>
  <c r="AO6" i="1"/>
  <c r="D19" i="9"/>
  <c r="D20" i="9"/>
  <c r="D103" i="9" l="1"/>
  <c r="G20" i="9"/>
  <c r="D102" i="9"/>
  <c r="G19" i="9"/>
  <c r="D21" i="9"/>
  <c r="D22" i="9"/>
  <c r="B6" i="70"/>
  <c r="B2" i="70" s="1"/>
  <c r="B3" i="70" s="1"/>
  <c r="AB7" i="40"/>
  <c r="T42" i="40" s="1"/>
  <c r="G42" i="40" s="1"/>
  <c r="U7" i="40"/>
  <c r="C47" i="39"/>
  <c r="C48" i="39"/>
  <c r="E52" i="39"/>
  <c r="F52" i="39" s="1"/>
  <c r="E51" i="39"/>
  <c r="F51" i="39" s="1"/>
  <c r="AC7" i="40"/>
  <c r="V42" i="40" s="1"/>
  <c r="I42" i="40" s="1"/>
  <c r="W7" i="40"/>
  <c r="I52" i="39"/>
  <c r="J52" i="39" s="1"/>
  <c r="R43" i="40"/>
  <c r="E42" i="40"/>
  <c r="D7" i="71"/>
  <c r="C6" i="71"/>
  <c r="G21" i="9" l="1"/>
  <c r="D14" i="74"/>
  <c r="C32" i="9"/>
  <c r="C35" i="9" s="1"/>
  <c r="C34" i="9" s="1"/>
  <c r="G22" i="9"/>
  <c r="C42" i="40"/>
  <c r="C43" i="40"/>
  <c r="B63" i="39"/>
  <c r="F63" i="39" s="1"/>
  <c r="B57" i="39"/>
  <c r="F57" i="39" s="1"/>
  <c r="B64" i="39"/>
  <c r="F64" i="39" s="1"/>
  <c r="B58" i="39"/>
  <c r="F58" i="39" s="1"/>
  <c r="B56" i="39"/>
  <c r="F56" i="39" s="1"/>
  <c r="F65" i="39" s="1"/>
  <c r="B2" i="39" s="1"/>
  <c r="B3" i="39" s="1"/>
  <c r="B60" i="39"/>
  <c r="F60" i="39" s="1"/>
  <c r="B62" i="39"/>
  <c r="F62" i="39" s="1"/>
  <c r="B61" i="39"/>
  <c r="F61" i="39" s="1"/>
  <c r="B59" i="39"/>
  <c r="F59" i="39" s="1"/>
  <c r="E47" i="40"/>
  <c r="F47" i="40" s="1"/>
  <c r="E46" i="40"/>
  <c r="F46" i="40" s="1"/>
  <c r="I46" i="40"/>
  <c r="J46" i="40" s="1"/>
  <c r="I47" i="40"/>
  <c r="J47" i="40" s="1"/>
  <c r="G47" i="40"/>
  <c r="H47" i="40" s="1"/>
  <c r="G46" i="40"/>
  <c r="H46" i="40" s="1"/>
  <c r="D6" i="71"/>
  <c r="C5" i="71"/>
  <c r="B5" i="74" l="1"/>
  <c r="D5" i="74" s="1"/>
  <c r="E14" i="74"/>
  <c r="F14" i="74"/>
  <c r="B58" i="40"/>
  <c r="F58" i="40" s="1"/>
  <c r="B52" i="40"/>
  <c r="F52" i="40" s="1"/>
  <c r="B51" i="40"/>
  <c r="F51" i="40" s="1"/>
  <c r="B59" i="40"/>
  <c r="F59" i="40" s="1"/>
  <c r="B57" i="40"/>
  <c r="F57" i="40" s="1"/>
  <c r="B53" i="40"/>
  <c r="F53" i="40" s="1"/>
  <c r="B60" i="40"/>
  <c r="F60" i="40" s="1"/>
  <c r="B54" i="40"/>
  <c r="F54" i="40" s="1"/>
  <c r="B56" i="40"/>
  <c r="F56" i="40" s="1"/>
  <c r="F61" i="40"/>
  <c r="B2" i="40" s="1"/>
  <c r="B3" i="40" s="1"/>
  <c r="D5" i="71"/>
  <c r="M24" i="43"/>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<sst xmlns="http://schemas.openxmlformats.org/spreadsheetml/2006/main" count="7990" uniqueCount="3495">
  <si>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</si>
  <si>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</si>
  <si>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</si>
  <si>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</si>
  <si>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</si>
  <si>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</si>
  <si>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</si>
  <si>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</si>
  <si>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</si>
  <si>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</si>
  <si>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</si>
  <si>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</si>
  <si>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</si>
  <si>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</si>
  <si>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</si>
  <si>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</si>
  <si>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</si>
  <si>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</si>
  <si>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</si>
  <si>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</si>
  <si>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</si>
  <si>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</si>
  <si>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</si>
  <si>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</si>
  <si>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</si>
  <si>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</si>
  <si>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</si>
  <si>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</si>
  <si>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</si>
  <si>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</si>
  <si>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</si>
  <si>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</si>
  <si>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</si>
  <si>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</si>
  <si>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</si>
  <si>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</si>
  <si>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</si>
  <si>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</si>
  <si>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</si>
  <si>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</si>
  <si>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</si>
  <si>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</si>
  <si>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</si>
  <si>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</si>
  <si>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</si>
  <si>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</si>
  <si>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</si>
  <si>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</si>
  <si>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</si>
  <si>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</si>
  <si>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</si>
  <si>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</si>
  <si>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</si>
  <si>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</si>
  <si>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</si>
  <si>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</si>
  <si>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</si>
  <si>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</si>
  <si>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</si>
  <si>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</si>
  <si>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</si>
  <si>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</si>
  <si>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</si>
  <si>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</si>
  <si>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</si>
  <si>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</si>
  <si>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</si>
  <si>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</si>
  <si>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</si>
  <si>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</si>
  <si>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</si>
  <si>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</si>
  <si>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</si>
  <si>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</si>
  <si>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</si>
  <si>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</si>
  <si>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</si>
  <si>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</si>
  <si>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</si>
  <si>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</si>
  <si>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</si>
  <si>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</si>
  <si>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</si>
  <si>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</si>
  <si>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</si>
  <si>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</si>
  <si>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</si>
  <si>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</si>
  <si>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</si>
  <si>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</si>
  <si>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</si>
  <si>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</si>
  <si>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</si>
  <si>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</si>
  <si>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</si>
  <si>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</si>
  <si>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</si>
  <si>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</si>
  <si>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</si>
  <si>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</si>
  <si>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</si>
  <si>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</si>
  <si>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</si>
  <si>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</si>
  <si>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</si>
  <si>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</si>
  <si>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</si>
  <si>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</si>
  <si>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</si>
  <si>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</si>
  <si>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</si>
  <si>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</si>
  <si>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</si>
  <si>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</si>
  <si>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</si>
  <si>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</si>
  <si>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</si>
  <si>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</si>
  <si>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</si>
  <si>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</si>
  <si>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</si>
  <si>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</si>
  <si>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</si>
  <si>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</si>
  <si>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</si>
  <si>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</si>
  <si>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</si>
  <si>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</si>
  <si>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</si>
  <si>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</si>
  <si>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</si>
  <si>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</si>
  <si>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</si>
  <si>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</si>
  <si>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</si>
  <si>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</si>
  <si>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</si>
  <si>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</si>
  <si>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</si>
  <si>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</si>
  <si>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</si>
  <si>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</si>
  <si>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</si>
  <si>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</si>
  <si>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</si>
  <si>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</si>
  <si>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</si>
  <si>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</si>
  <si>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</si>
  <si>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</si>
  <si>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</si>
  <si>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</si>
  <si>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</si>
  <si>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</si>
  <si>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</si>
  <si>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</si>
  <si>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</si>
  <si>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</si>
  <si>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</si>
  <si>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</si>
  <si>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</si>
  <si>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</si>
  <si>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</si>
  <si>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</si>
  <si>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</si>
  <si>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</si>
  <si>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</si>
  <si>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</si>
  <si>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</si>
  <si>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</si>
  <si>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</si>
  <si>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</si>
  <si>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</si>
  <si>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</si>
  <si>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</si>
  <si>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</si>
  <si>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</si>
  <si>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</si>
  <si>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</si>
  <si>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</si>
  <si>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</si>
  <si>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</si>
  <si>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</si>
  <si>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</si>
  <si>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</si>
  <si>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</si>
  <si>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</si>
  <si>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</si>
  <si>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</si>
  <si>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</si>
  <si>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</si>
  <si>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</si>
  <si>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</si>
  <si>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</si>
  <si>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</si>
  <si>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</si>
  <si>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</si>
  <si>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</si>
  <si>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</si>
  <si>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</si>
  <si>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</si>
  <si>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</si>
  <si>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</si>
  <si>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</si>
  <si>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</si>
  <si>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</si>
  <si>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</si>
  <si>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</si>
  <si>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</si>
  <si>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</si>
  <si>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</si>
  <si>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</si>
  <si>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</si>
  <si>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</si>
  <si>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</si>
  <si>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</si>
  <si>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</si>
  <si>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</si>
  <si>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</si>
  <si>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</si>
  <si>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</si>
  <si>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</si>
  <si>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</si>
  <si>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</si>
  <si>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</si>
  <si>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</si>
  <si>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</si>
  <si>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</si>
  <si>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</si>
  <si>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</si>
  <si>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</si>
  <si>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</si>
  <si>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</si>
  <si>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</si>
  <si>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</si>
  <si>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</si>
  <si>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</si>
  <si>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</si>
  <si>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</si>
  <si>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</si>
  <si>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</si>
  <si>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</si>
  <si>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</si>
  <si>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</si>
  <si>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</si>
  <si>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</si>
  <si>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</si>
  <si>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</si>
  <si>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</si>
  <si>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</si>
  <si>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</si>
  <si>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</si>
  <si>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</si>
  <si>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</si>
  <si>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</si>
  <si>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</si>
  <si>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</si>
  <si>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</si>
  <si>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</si>
  <si>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</si>
  <si>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</si>
  <si>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</si>
  <si>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</si>
  <si>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</si>
  <si>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</si>
  <si>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</si>
  <si>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</si>
  <si>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</si>
  <si>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</si>
  <si>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</si>
  <si>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</si>
  <si>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</si>
  <si>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</si>
  <si>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</si>
  <si>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</si>
  <si>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</si>
  <si>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</si>
  <si>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</si>
  <si>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</si>
  <si>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</si>
  <si>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</si>
  <si>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</si>
  <si>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</si>
  <si>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</si>
  <si>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</si>
  <si>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</si>
  <si>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</si>
  <si>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</si>
  <si>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</si>
  <si>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</si>
  <si>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</si>
  <si>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</si>
  <si>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</si>
  <si>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</si>
  <si>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</si>
  <si>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</si>
  <si>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</si>
  <si>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</si>
  <si>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</si>
  <si>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</si>
  <si>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</si>
  <si>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</si>
  <si>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</si>
  <si>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</si>
  <si>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</si>
  <si>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</si>
  <si>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</si>
  <si>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</si>
  <si>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</si>
  <si>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</si>
  <si>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</si>
  <si>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</si>
  <si>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</si>
  <si>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</si>
  <si>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</si>
  <si>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</si>
  <si>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</si>
  <si>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</si>
  <si>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</si>
  <si>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</si>
  <si>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</si>
  <si>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</si>
  <si>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</si>
  <si>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</si>
  <si>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</si>
  <si>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</si>
  <si>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</si>
  <si>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</si>
  <si>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</si>
  <si>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</si>
  <si>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</si>
  <si>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</si>
  <si>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</si>
  <si>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</si>
  <si>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</si>
  <si>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</si>
  <si>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</si>
  <si>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</si>
  <si>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</si>
  <si>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</si>
  <si>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</si>
  <si>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</si>
  <si>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</si>
  <si>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</si>
  <si>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</si>
  <si>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</si>
  <si>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</si>
  <si>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</si>
  <si>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</si>
  <si>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</si>
  <si>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</si>
  <si>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</si>
  <si>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</si>
  <si>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</si>
  <si>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</si>
  <si>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</si>
  <si>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</si>
  <si>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</si>
  <si>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</si>
  <si>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</si>
  <si>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</si>
  <si>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</si>
  <si>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</si>
  <si>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</si>
  <si>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</si>
  <si>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</si>
  <si>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</si>
  <si>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</si>
  <si>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</si>
  <si>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</si>
  <si>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</si>
  <si>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</si>
  <si>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</si>
  <si>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</si>
  <si>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</si>
  <si>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</si>
  <si>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</si>
  <si>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</si>
  <si>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</si>
  <si>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</si>
  <si>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</si>
  <si>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</si>
  <si>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</si>
  <si>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</si>
  <si>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</si>
  <si>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</si>
  <si>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</si>
  <si>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</si>
  <si>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</si>
  <si>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</si>
  <si>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</si>
  <si>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</si>
  <si>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</si>
  <si>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</si>
  <si>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</si>
  <si>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</si>
  <si>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</si>
  <si>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</si>
  <si>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</si>
  <si>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</si>
  <si>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</si>
  <si>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</si>
  <si>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</si>
  <si>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</si>
  <si>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</si>
  <si>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</si>
  <si>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</si>
  <si>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</si>
  <si>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</si>
  <si>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</si>
  <si>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</si>
  <si>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</si>
  <si>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</si>
  <si>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</si>
  <si>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</si>
  <si>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</si>
  <si>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</si>
  <si>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</si>
  <si>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</si>
  <si>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</si>
  <si>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</si>
  <si>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</si>
  <si>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</si>
  <si>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</si>
  <si>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</si>
  <si>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</si>
  <si>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</si>
  <si>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</si>
  <si>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</si>
  <si>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</si>
  <si>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</si>
  <si>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</si>
  <si>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</si>
  <si>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</si>
  <si>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</si>
  <si>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</si>
  <si>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</si>
  <si>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</si>
  <si>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</si>
  <si>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</si>
  <si>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</si>
  <si>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</si>
  <si>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</si>
  <si>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</si>
  <si>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</si>
  <si>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</si>
  <si>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</si>
  <si>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</si>
  <si>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</si>
  <si>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</si>
  <si>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</si>
  <si>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</si>
  <si>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</si>
  <si>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</si>
  <si>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</si>
  <si>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</si>
  <si>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</si>
  <si>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</si>
  <si>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</si>
  <si>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</si>
  <si>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</si>
  <si>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</si>
  <si>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</si>
  <si>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</si>
  <si>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</si>
  <si>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</si>
  <si>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</si>
  <si>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</si>
  <si>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</si>
  <si>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</si>
  <si>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</si>
  <si>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</si>
  <si>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</si>
  <si>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</si>
  <si>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</si>
  <si>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</si>
  <si>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</si>
  <si>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</si>
  <si>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</si>
  <si>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</si>
  <si>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</si>
  <si>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</si>
  <si>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</si>
  <si>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</si>
  <si>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</si>
  <si>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</si>
  <si>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</si>
  <si>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</si>
  <si>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</si>
  <si>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</si>
  <si>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</si>
  <si>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</si>
  <si>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</si>
  <si>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</si>
  <si>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</si>
  <si>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</si>
  <si>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</si>
  <si>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</si>
  <si>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</si>
  <si>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</si>
  <si>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</si>
  <si>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</si>
  <si>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</si>
  <si>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</si>
  <si>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</si>
  <si>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</si>
  <si>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</si>
  <si>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</si>
  <si>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</si>
  <si>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</si>
  <si>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</si>
  <si>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</si>
  <si>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</si>
  <si>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</si>
  <si>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</si>
  <si>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</si>
  <si>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</si>
  <si>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</si>
  <si>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</si>
  <si>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</si>
  <si>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</si>
  <si>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</si>
  <si>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</si>
  <si>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</si>
  <si>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</si>
  <si>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</si>
  <si>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</si>
  <si>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</si>
  <si>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</si>
  <si>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</si>
  <si>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</si>
  <si>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</si>
  <si>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</si>
  <si>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</si>
  <si>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</si>
  <si>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</si>
  <si>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</si>
  <si>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</si>
  <si>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</si>
  <si>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</si>
  <si>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</si>
  <si>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</si>
  <si>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</si>
  <si>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</si>
  <si>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</si>
  <si>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</si>
  <si>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</si>
  <si>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</si>
  <si>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</si>
  <si>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</si>
  <si>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</si>
  <si>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</si>
  <si>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</si>
  <si>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</si>
  <si>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</si>
  <si>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</si>
  <si>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</si>
  <si>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</si>
  <si>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</si>
  <si>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</si>
  <si>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</si>
  <si>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</si>
  <si>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</si>
  <si>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</si>
  <si>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</si>
  <si>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</si>
  <si>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</si>
  <si>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</si>
  <si>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</si>
  <si>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</si>
  <si>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</si>
  <si>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</si>
  <si>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</si>
  <si>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</si>
  <si>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</si>
  <si>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</si>
  <si>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</si>
  <si>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</si>
  <si>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</si>
  <si>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</si>
  <si>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</si>
  <si>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</si>
  <si>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</si>
  <si>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</si>
  <si>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</si>
  <si>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</si>
  <si>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</si>
  <si>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</si>
  <si>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</si>
  <si>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</si>
  <si>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</si>
  <si>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</si>
  <si>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</si>
  <si>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</si>
  <si>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</si>
  <si>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</si>
  <si>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</si>
  <si>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</si>
  <si>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</si>
  <si>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</si>
  <si>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</si>
  <si>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</si>
  <si>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</si>
  <si>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</si>
  <si>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</si>
  <si>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</si>
  <si>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</si>
  <si>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</si>
  <si>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</si>
  <si>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</si>
  <si>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</si>
  <si>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</si>
  <si>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</si>
  <si>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</si>
  <si>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</si>
  <si>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</si>
  <si>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</si>
  <si>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</si>
  <si>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</si>
  <si>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</si>
  <si>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</si>
  <si>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</si>
  <si>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</si>
  <si>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</si>
  <si>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</si>
  <si>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</si>
  <si>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</si>
  <si>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</si>
  <si>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</si>
  <si>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</si>
  <si>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</si>
  <si>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</si>
  <si>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</si>
  <si>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</si>
  <si>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</si>
  <si>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</si>
  <si>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</si>
  <si>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</si>
  <si>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</si>
  <si>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</si>
  <si>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</si>
  <si>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</si>
  <si>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</si>
  <si>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</si>
  <si>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</si>
  <si>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</si>
  <si>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</si>
  <si>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</si>
  <si>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</si>
  <si>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</si>
  <si>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</si>
  <si>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</si>
  <si>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</si>
  <si>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</si>
  <si>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</si>
  <si>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</si>
  <si>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</si>
  <si>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</si>
  <si>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</si>
  <si>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</si>
  <si>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</si>
  <si>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</si>
  <si>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</si>
  <si>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</si>
  <si>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</si>
  <si>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</si>
  <si>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</si>
  <si>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</si>
  <si>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</si>
  <si>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</si>
  <si>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</si>
  <si>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</si>
  <si>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</si>
  <si>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</si>
  <si>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</si>
  <si>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</si>
  <si>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</si>
  <si>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</si>
  <si>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</si>
  <si>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</si>
  <si>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</si>
  <si>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</si>
  <si>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</si>
  <si>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</si>
  <si>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</si>
  <si>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</si>
  <si>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</si>
  <si>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</si>
  <si>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</si>
  <si>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</si>
  <si>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</si>
  <si>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</si>
  <si>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</si>
  <si>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</si>
  <si>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</si>
  <si>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</si>
  <si>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</si>
  <si>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</si>
  <si>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</si>
  <si>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</si>
  <si>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</si>
  <si>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</si>
  <si>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</si>
  <si>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</si>
  <si>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</si>
  <si>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</si>
  <si>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</si>
  <si>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</si>
  <si>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</si>
  <si>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</si>
  <si>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</si>
  <si>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</si>
  <si>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</si>
  <si>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</si>
  <si>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</si>
  <si>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</si>
  <si>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</si>
  <si>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</si>
  <si>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</si>
  <si>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</si>
  <si>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</si>
  <si>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</si>
  <si>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</si>
  <si>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</si>
  <si>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</si>
  <si>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</si>
  <si>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</si>
  <si>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</si>
  <si>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</si>
  <si>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</si>
  <si>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</si>
  <si>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</si>
  <si>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</si>
  <si>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</si>
  <si>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</si>
  <si>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</si>
  <si>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</si>
  <si>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</si>
  <si>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</si>
  <si>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</si>
  <si>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</si>
  <si>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</si>
  <si>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</si>
  <si>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</si>
  <si>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</si>
  <si>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</si>
  <si>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</si>
  <si>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</si>
  <si>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</si>
  <si>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</si>
  <si>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</si>
  <si>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</si>
  <si>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</si>
  <si>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</si>
  <si>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</si>
  <si>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</si>
  <si>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</si>
  <si>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</si>
  <si>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</si>
  <si>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</si>
  <si>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</si>
  <si>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</si>
  <si>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</si>
  <si>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</si>
  <si>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</si>
  <si>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</si>
  <si>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</si>
  <si>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</si>
  <si>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</si>
  <si>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</si>
  <si>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</si>
  <si>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</si>
  <si>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</si>
  <si>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</si>
  <si>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</si>
  <si>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</si>
  <si>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</si>
  <si>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</si>
  <si>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</si>
  <si>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</si>
  <si>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</si>
  <si>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</si>
  <si>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</si>
  <si>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</si>
  <si>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</si>
  <si>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</si>
  <si>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</si>
  <si>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</si>
  <si>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</si>
  <si>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</si>
  <si>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</si>
  <si>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</si>
  <si>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</si>
  <si>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</si>
  <si>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</si>
  <si>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</si>
  <si>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</si>
  <si>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</si>
  <si>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</si>
  <si>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</si>
  <si>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</si>
  <si>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</si>
  <si>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</si>
  <si>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</si>
  <si>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</si>
  <si>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</si>
  <si>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</si>
  <si>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</si>
  <si>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</si>
  <si>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</si>
  <si>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</si>
  <si>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</si>
  <si>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</si>
  <si>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</si>
  <si>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</si>
  <si>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</si>
  <si>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</si>
  <si>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</si>
  <si>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</si>
  <si>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</si>
  <si>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</si>
  <si>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</si>
  <si>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</si>
  <si>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</si>
  <si>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</si>
  <si>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</si>
  <si>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</si>
  <si>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</si>
  <si>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</si>
  <si>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</si>
  <si>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</si>
  <si>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</si>
  <si>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</si>
  <si>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</si>
  <si>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</si>
  <si>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</si>
  <si>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</si>
  <si>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</si>
  <si>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</si>
  <si>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</si>
  <si>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</si>
  <si>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</si>
  <si>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</si>
  <si>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</si>
  <si>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</si>
  <si>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</si>
  <si>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</si>
  <si>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</si>
  <si>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</si>
  <si>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</si>
  <si>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</si>
  <si>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</si>
  <si>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</si>
  <si>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</si>
  <si>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</si>
  <si>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</si>
  <si>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</si>
  <si>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</si>
  <si>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</si>
  <si>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</si>
  <si>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</si>
  <si>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</si>
  <si>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</si>
  <si>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</si>
  <si>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</si>
  <si>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</si>
  <si>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</si>
  <si>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</si>
  <si>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</si>
  <si>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</si>
  <si>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</si>
  <si>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</si>
  <si>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</si>
  <si>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</si>
  <si>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</si>
  <si>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</si>
  <si>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</si>
  <si>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</si>
  <si>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</si>
  <si>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</si>
  <si>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</si>
  <si>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</si>
  <si>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</si>
  <si>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</si>
  <si>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</si>
  <si>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</si>
  <si>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</si>
  <si>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</si>
  <si>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</si>
  <si>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</si>
  <si>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</si>
  <si>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</si>
  <si>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</si>
  <si>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</si>
  <si>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</si>
  <si>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</si>
  <si>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</si>
  <si>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</si>
  <si>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</si>
  <si>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</si>
  <si>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</si>
  <si>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</si>
  <si>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</si>
  <si>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</si>
  <si>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</si>
  <si>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</si>
  <si>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</si>
  <si>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</si>
  <si>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</si>
  <si>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</si>
  <si>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</si>
  <si>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</si>
  <si>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</si>
  <si>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</si>
  <si>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</si>
  <si>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</si>
  <si>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</si>
  <si>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</si>
  <si>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</si>
  <si>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</si>
  <si>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</si>
  <si>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</si>
  <si>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</si>
  <si>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</si>
  <si>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</si>
  <si>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</si>
  <si>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</si>
  <si>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</si>
  <si>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</si>
  <si>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</si>
  <si>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</si>
  <si>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</si>
  <si>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</si>
  <si>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</si>
  <si>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</si>
  <si>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</si>
  <si>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</si>
  <si>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</si>
  <si>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</si>
  <si>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</si>
  <si>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</si>
  <si>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</si>
  <si>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</si>
  <si>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</si>
  <si>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</si>
  <si>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</si>
  <si>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</si>
  <si>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</si>
  <si>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</si>
  <si>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</si>
  <si>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</si>
  <si>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</si>
  <si>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</si>
  <si>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</si>
  <si>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</si>
  <si>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</si>
  <si>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</si>
  <si>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</si>
  <si>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</si>
  <si>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</si>
  <si>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</si>
  <si>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</si>
  <si>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</si>
  <si>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</si>
  <si>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</si>
  <si>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</si>
  <si>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</si>
  <si>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</si>
  <si>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</si>
  <si>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</si>
  <si>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</si>
  <si>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</si>
  <si>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</si>
  <si>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</si>
  <si>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</si>
  <si>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</si>
  <si>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</si>
  <si>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</si>
  <si>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</si>
  <si>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</si>
  <si>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</si>
  <si>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</si>
  <si>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</si>
  <si>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</si>
  <si>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</si>
  <si>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</si>
  <si>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</si>
  <si>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</si>
  <si>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</si>
  <si>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</si>
  <si>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</si>
  <si>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</si>
  <si>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</si>
  <si>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</si>
  <si>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</si>
  <si>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</si>
  <si>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</si>
  <si>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</si>
  <si>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</si>
  <si>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</si>
  <si>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</si>
  <si>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</si>
  <si>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</si>
  <si>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</si>
  <si>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</si>
  <si>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</si>
  <si>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</si>
  <si>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</si>
  <si>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</si>
  <si>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</si>
  <si>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</si>
  <si>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</si>
  <si>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</si>
  <si>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</si>
  <si>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</si>
  <si>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</si>
  <si>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</si>
  <si>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</si>
  <si>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</si>
  <si>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</si>
  <si>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</si>
  <si>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</si>
  <si>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</si>
  <si>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</si>
  <si>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</si>
  <si>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</si>
  <si>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</si>
  <si>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</si>
  <si>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</si>
  <si>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</si>
  <si>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</si>
  <si>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</si>
  <si>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</si>
  <si>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</si>
  <si>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</si>
  <si>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</si>
  <si>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</si>
  <si>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</si>
  <si>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</si>
  <si>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</si>
  <si>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</si>
  <si>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</si>
  <si>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</si>
  <si>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</si>
  <si>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</si>
  <si>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</si>
  <si>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</si>
  <si>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</si>
  <si>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</si>
  <si>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</si>
  <si>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</si>
  <si>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</si>
  <si>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</si>
  <si>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</si>
  <si>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</si>
  <si>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</si>
  <si>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</si>
  <si>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</si>
  <si>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</si>
  <si>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</si>
  <si>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</si>
  <si>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</si>
  <si>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</si>
  <si>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</si>
  <si>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</si>
  <si>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</si>
  <si>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</si>
  <si>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</si>
  <si>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</si>
  <si>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</si>
  <si>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</si>
  <si>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</si>
  <si>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</si>
  <si>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</si>
  <si>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</si>
  <si>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</si>
  <si>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</si>
  <si>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</si>
  <si>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</si>
  <si>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</si>
  <si>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</si>
  <si>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</si>
  <si>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</si>
  <si>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</si>
  <si>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</si>
  <si>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</si>
  <si>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</si>
  <si>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</si>
  <si>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</si>
  <si>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</si>
  <si>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</si>
  <si>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</si>
  <si>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</si>
  <si>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</si>
  <si>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</si>
  <si>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</si>
  <si>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</si>
  <si>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</si>
  <si>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</si>
  <si>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</si>
  <si>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</si>
  <si>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</si>
  <si>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</si>
  <si>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</si>
  <si>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</si>
  <si>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</si>
  <si>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</si>
  <si>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</si>
  <si>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</si>
  <si>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</si>
  <si>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</si>
  <si>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</si>
  <si>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</si>
  <si>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</si>
  <si>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</si>
  <si>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</si>
  <si>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</si>
  <si>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</si>
  <si>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</si>
  <si>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</si>
  <si>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</si>
  <si>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</si>
  <si>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</si>
  <si>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</si>
  <si>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</si>
  <si>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</si>
  <si>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</si>
  <si>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</si>
  <si>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</si>
  <si>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</si>
  <si>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</si>
  <si>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</si>
  <si>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</si>
  <si>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</si>
  <si>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</si>
  <si>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</si>
  <si>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</si>
  <si>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</si>
  <si>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</si>
  <si>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</si>
  <si>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</si>
  <si>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</si>
  <si>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</si>
  <si>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</si>
  <si>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</si>
  <si>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</si>
  <si>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</si>
  <si>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</si>
  <si>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</si>
  <si>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</si>
  <si>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</si>
  <si>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</si>
  <si>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</si>
  <si>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</si>
  <si>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</si>
  <si>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</si>
  <si>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</si>
  <si>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</si>
  <si>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</si>
  <si>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</si>
  <si>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</si>
  <si>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</si>
  <si>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</si>
  <si>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</si>
  <si>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</si>
  <si>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</si>
  <si>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</si>
  <si>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</si>
  <si>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</si>
  <si>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</si>
  <si>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</si>
  <si>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</si>
  <si>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</si>
  <si>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</si>
  <si>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</si>
  <si>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</si>
  <si>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</si>
  <si>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</si>
  <si>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</si>
  <si>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</si>
  <si>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</si>
  <si>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</si>
  <si>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</si>
  <si>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</si>
  <si>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</si>
  <si>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</si>
  <si>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</si>
  <si>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</si>
  <si>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</si>
  <si>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</si>
  <si>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</si>
  <si>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</si>
  <si>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</si>
  <si>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</si>
  <si>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</si>
  <si>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</si>
  <si>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</si>
  <si>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</si>
  <si>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</si>
  <si>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</si>
  <si>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</si>
  <si>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</si>
  <si>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</si>
  <si>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</si>
  <si>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</si>
  <si>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</si>
  <si>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</si>
  <si>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</si>
  <si>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</si>
  <si>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</si>
  <si>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</si>
  <si>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</si>
  <si>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</si>
  <si>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</si>
  <si>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</si>
  <si>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</si>
  <si>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</si>
  <si>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</si>
  <si>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</si>
  <si>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</si>
  <si>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</si>
  <si>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</si>
  <si>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</si>
  <si>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</si>
  <si>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</si>
  <si>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</si>
  <si>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</si>
  <si>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</si>
  <si>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</si>
  <si>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</si>
  <si>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</si>
  <si>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</si>
  <si>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</si>
  <si>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</si>
  <si>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</si>
  <si>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</si>
  <si>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</si>
  <si>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</si>
  <si>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</si>
  <si>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</si>
  <si>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</si>
  <si>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</si>
  <si>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</si>
  <si>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</si>
  <si>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</si>
  <si>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</si>
  <si>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</si>
  <si>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</si>
  <si>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</si>
  <si>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</si>
  <si>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</si>
  <si>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</si>
  <si>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</si>
  <si>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</si>
  <si>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</si>
  <si>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</si>
  <si>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</si>
  <si>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</si>
  <si>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</si>
  <si>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</si>
  <si>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</si>
  <si>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</si>
  <si>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</si>
  <si>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</si>
  <si>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</si>
  <si>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</si>
  <si>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</si>
  <si>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</si>
  <si>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</si>
  <si>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</si>
  <si>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</si>
  <si>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</si>
  <si>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</si>
  <si>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</si>
  <si>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</si>
  <si>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</si>
  <si>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</si>
  <si>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</si>
  <si>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</si>
  <si>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</si>
  <si>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</si>
  <si>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</si>
  <si>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</si>
  <si>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</si>
  <si>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</si>
  <si>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</si>
  <si>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</si>
  <si>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</si>
  <si>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</si>
  <si>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</si>
  <si>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</si>
  <si>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</si>
  <si>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</si>
  <si>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</si>
  <si>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</si>
  <si>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</si>
  <si>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</si>
  <si>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</si>
  <si>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</si>
  <si>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</si>
  <si>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</si>
  <si>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</si>
  <si>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</si>
  <si>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</si>
  <si>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</si>
  <si>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</si>
  <si>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</si>
  <si>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</si>
  <si>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</si>
  <si>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</si>
  <si>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</si>
  <si>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</si>
  <si>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</si>
  <si>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</si>
  <si>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</si>
  <si>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</si>
  <si>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</si>
  <si>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</si>
  <si>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</si>
  <si>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</si>
  <si>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</si>
  <si>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</si>
  <si>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</si>
  <si>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</si>
  <si>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</si>
  <si>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</si>
  <si>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</si>
  <si>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</si>
  <si>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</si>
  <si>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</si>
  <si>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</si>
  <si>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</si>
  <si>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</si>
  <si>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</si>
  <si>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</si>
  <si>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</si>
  <si>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</si>
  <si>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</si>
  <si>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</si>
  <si>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</si>
  <si>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</si>
  <si>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</si>
  <si>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</si>
  <si>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</si>
  <si>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</si>
  <si>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</si>
  <si>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</si>
  <si>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</si>
  <si>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</si>
  <si>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</si>
  <si>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</si>
  <si>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</si>
  <si>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</si>
  <si>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</si>
  <si>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</si>
  <si>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</si>
  <si>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</si>
  <si>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</si>
  <si>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</si>
  <si>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</si>
  <si>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</si>
  <si>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</si>
  <si>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</si>
  <si>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</si>
  <si>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</si>
  <si>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</si>
  <si>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</si>
  <si>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</si>
  <si>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</si>
  <si>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</si>
  <si>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</si>
  <si>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</si>
  <si>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</si>
  <si>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</si>
  <si>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</si>
  <si>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</si>
  <si>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</si>
  <si>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</si>
  <si>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</si>
  <si>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</si>
  <si>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</si>
  <si>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</si>
  <si>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</si>
  <si>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</si>
  <si>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</si>
  <si>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</si>
  <si>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</si>
  <si>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</si>
  <si>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</si>
  <si>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</si>
  <si>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</si>
  <si>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</si>
  <si>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</si>
  <si>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</si>
  <si>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</si>
  <si>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</si>
  <si>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</si>
  <si>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</si>
  <si>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</si>
  <si>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</si>
  <si>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</si>
  <si>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</si>
  <si>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</si>
  <si>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</si>
  <si>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</si>
  <si>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</si>
  <si>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</si>
  <si>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</si>
  <si>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</si>
  <si>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</si>
  <si>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</si>
  <si>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</si>
  <si>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</si>
  <si>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</si>
  <si>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</si>
  <si>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</si>
  <si>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</si>
  <si>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</si>
  <si>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</si>
  <si>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</si>
  <si>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</si>
  <si>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</si>
  <si>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</si>
  <si>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</si>
  <si>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</si>
  <si>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</si>
  <si>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</si>
  <si>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</si>
  <si>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</si>
  <si>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</si>
  <si>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</si>
  <si>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</si>
  <si>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</si>
  <si>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</si>
  <si>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</si>
  <si>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</si>
  <si>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</si>
  <si>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</si>
  <si>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</si>
  <si>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</si>
  <si>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</si>
  <si>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</si>
  <si>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</si>
  <si>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</si>
  <si>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</si>
  <si>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</si>
  <si>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</si>
  <si>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</si>
  <si>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</si>
  <si>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</si>
  <si>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</si>
  <si>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</si>
  <si>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</si>
  <si>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</si>
  <si>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</si>
  <si>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</si>
  <si>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</si>
  <si>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</si>
  <si>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</si>
  <si>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</si>
  <si>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</si>
  <si>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</si>
  <si>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</si>
  <si>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</si>
  <si>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</si>
  <si>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</si>
  <si>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</si>
  <si>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</si>
  <si>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</si>
  <si>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</si>
  <si>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</si>
  <si>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</si>
  <si>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</si>
  <si>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</si>
  <si>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</si>
  <si>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</si>
  <si>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</si>
  <si>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</si>
  <si>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</si>
  <si>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</si>
  <si>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</si>
  <si>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</si>
  <si>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</si>
  <si>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</si>
  <si>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</si>
  <si>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</si>
  <si>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</si>
  <si>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</si>
  <si>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</si>
  <si>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</si>
  <si>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</si>
  <si>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</si>
  <si>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</si>
  <si>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</si>
  <si>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</si>
  <si>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</si>
  <si>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</si>
  <si>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</si>
  <si>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</si>
  <si>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</si>
  <si>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</si>
  <si>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</si>
  <si>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</si>
  <si>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</si>
  <si>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</si>
  <si>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</si>
  <si>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</si>
  <si>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</si>
  <si>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</si>
  <si>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</si>
  <si>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</si>
  <si>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</si>
  <si>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</si>
  <si>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</si>
  <si>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</si>
  <si>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</si>
  <si>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</si>
  <si>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</si>
  <si>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</si>
  <si>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</si>
  <si>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</si>
  <si>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</si>
  <si>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</si>
  <si>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</si>
  <si>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</si>
  <si>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</si>
  <si>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</si>
  <si>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</si>
  <si>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</si>
  <si>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</si>
  <si>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</si>
  <si>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</si>
  <si>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</si>
  <si>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</si>
  <si>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</si>
  <si>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</si>
  <si>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</si>
  <si>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</si>
  <si>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</si>
  <si>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</si>
  <si>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</si>
  <si>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</si>
  <si>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</si>
  <si>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</si>
  <si>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</si>
  <si>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</si>
  <si>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</si>
  <si>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</si>
  <si>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</si>
  <si>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</si>
  <si>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</si>
  <si>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</si>
  <si>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</si>
  <si>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</si>
  <si>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</si>
  <si>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</si>
  <si>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</si>
  <si>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</si>
  <si>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</si>
  <si>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</si>
  <si>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</si>
  <si>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</si>
  <si>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</si>
  <si>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</si>
  <si>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</si>
  <si>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</si>
  <si>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</si>
  <si>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</si>
  <si>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</si>
  <si>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</si>
  <si>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</si>
  <si>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</si>
  <si>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</si>
  <si>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</si>
  <si>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</si>
  <si>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</si>
  <si>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</si>
  <si>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</si>
  <si>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</si>
  <si>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</si>
  <si>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</si>
  <si>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</si>
  <si>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</si>
  <si>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</si>
  <si>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</si>
  <si>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</si>
  <si>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</si>
  <si>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</si>
  <si>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</si>
  <si>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</si>
  <si>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</si>
  <si>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</si>
  <si>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</si>
  <si>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</si>
  <si>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</si>
  <si>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</si>
  <si>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</si>
  <si>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</si>
  <si>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</si>
  <si>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</si>
  <si>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</si>
  <si>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</si>
  <si>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</si>
  <si>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</si>
  <si>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</si>
  <si>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</si>
  <si>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</si>
  <si>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</si>
  <si>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</si>
  <si>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</si>
  <si>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</si>
  <si>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</si>
  <si>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</si>
  <si>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</si>
  <si>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</si>
  <si>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</si>
  <si>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</si>
  <si>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</si>
  <si>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</si>
  <si>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</si>
  <si>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</si>
  <si>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</si>
  <si>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</si>
  <si>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</si>
  <si>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</si>
  <si>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</si>
  <si>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</si>
  <si>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</si>
  <si>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</si>
  <si>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</si>
  <si>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</si>
  <si>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</si>
  <si>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</si>
  <si>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</si>
  <si>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</si>
  <si>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</si>
  <si>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</si>
  <si>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</si>
  <si>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</si>
  <si>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</si>
  <si>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</si>
  <si>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</si>
  <si>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</si>
  <si>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</si>
  <si>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</si>
  <si>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</si>
  <si>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</si>
  <si>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</si>
  <si>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</si>
  <si>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</si>
  <si>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</si>
  <si>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</si>
  <si>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</si>
  <si>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</si>
  <si>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</si>
  <si>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</si>
  <si>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</si>
  <si>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</si>
  <si>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</si>
  <si>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</si>
  <si>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</si>
  <si>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</si>
  <si>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</si>
  <si>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</si>
  <si>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</si>
  <si>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</si>
  <si>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</si>
  <si>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</si>
  <si>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</si>
  <si>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</si>
  <si>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</si>
  <si>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</si>
  <si>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</si>
  <si>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</si>
  <si>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</si>
  <si>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</si>
  <si>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</si>
  <si>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</si>
  <si>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</si>
  <si>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</si>
  <si>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</si>
  <si>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</si>
  <si>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</si>
  <si>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</si>
  <si>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</si>
  <si>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</si>
  <si>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</si>
  <si>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</si>
  <si>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</si>
  <si>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</si>
  <si>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</si>
  <si>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</si>
  <si>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</si>
  <si>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</si>
  <si>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</si>
  <si>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</si>
  <si>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</si>
  <si>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</si>
  <si>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</si>
  <si>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</si>
  <si>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</si>
  <si>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</si>
  <si>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</si>
  <si>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</si>
  <si>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</si>
  <si>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</si>
  <si>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</si>
  <si>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</si>
  <si>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</si>
  <si>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</si>
  <si>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</si>
  <si>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</si>
  <si>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</si>
  <si>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</si>
  <si>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</si>
  <si>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</si>
  <si>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</si>
  <si>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</si>
  <si>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</si>
  <si>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</si>
  <si>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</si>
  <si>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</si>
  <si>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</si>
  <si>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</si>
  <si>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</si>
  <si>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</si>
  <si>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</si>
  <si>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</si>
  <si>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</si>
  <si>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</si>
  <si>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</si>
  <si>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</si>
  <si>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</si>
  <si>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</si>
  <si>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</si>
  <si>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</si>
  <si>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</si>
  <si>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</si>
  <si>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</si>
  <si>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</si>
  <si>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</si>
  <si>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</si>
  <si>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</si>
  <si>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</si>
  <si>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</si>
  <si>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</si>
  <si>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</si>
  <si>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</si>
  <si>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</si>
  <si>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</si>
  <si>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</si>
  <si>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</si>
  <si>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</si>
  <si>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</si>
  <si>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</si>
  <si>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</si>
  <si>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</si>
  <si>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</si>
  <si>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</si>
  <si>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</si>
  <si>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</si>
  <si>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</si>
  <si>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</si>
  <si>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</si>
  <si>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</si>
  <si>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</si>
  <si>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</si>
  <si>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</si>
  <si>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</si>
  <si>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</si>
  <si>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</si>
  <si>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</si>
  <si>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</si>
  <si>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</si>
  <si>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</si>
  <si>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</si>
  <si>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</si>
  <si>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</si>
  <si>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</si>
  <si>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</si>
  <si>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</si>
  <si>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</si>
  <si>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</si>
  <si>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</si>
  <si>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</si>
  <si>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</si>
  <si>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</si>
  <si>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</si>
  <si>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</si>
  <si>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</si>
  <si>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</si>
  <si>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</si>
  <si>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</si>
  <si>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</si>
  <si>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</si>
  <si>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</si>
  <si>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</si>
  <si>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</si>
  <si>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</si>
  <si>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</si>
  <si>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</si>
  <si>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</si>
  <si>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</si>
  <si>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</si>
  <si>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</si>
  <si>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</si>
  <si>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</si>
  <si>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</si>
  <si>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</si>
  <si>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</si>
  <si>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</si>
  <si>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</si>
  <si>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</si>
  <si>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</si>
  <si>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</si>
  <si>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</si>
  <si>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</si>
  <si>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</si>
  <si>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</si>
  <si>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</si>
  <si>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</si>
  <si>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</si>
  <si>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</si>
  <si>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</si>
  <si>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</si>
  <si>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</si>
  <si>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</si>
  <si>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</si>
  <si>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</si>
  <si>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</si>
  <si>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</si>
  <si>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</si>
  <si>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</si>
  <si>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</si>
  <si>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</si>
  <si>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</si>
  <si>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</si>
  <si>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</si>
  <si>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</si>
  <si>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</si>
  <si>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</si>
  <si>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</si>
  <si>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</si>
  <si>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</si>
  <si>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</si>
  <si>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</si>
  <si>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</si>
  <si>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</si>
  <si>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</si>
  <si>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</si>
  <si>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</si>
  <si>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</si>
  <si>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</si>
  <si>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</si>
  <si>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</si>
  <si>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</si>
  <si>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</si>
  <si>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</si>
  <si>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</si>
  <si>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</si>
  <si>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</si>
  <si>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</si>
  <si>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</si>
  <si>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</si>
  <si>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</si>
  <si>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</si>
  <si>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</si>
  <si>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</si>
  <si>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</si>
  <si>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</si>
  <si>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</si>
  <si>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</si>
  <si>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</si>
  <si>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</si>
  <si>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</si>
  <si>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</si>
  <si>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</si>
  <si>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</si>
  <si>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</si>
  <si>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</si>
  <si>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</si>
  <si>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</si>
  <si>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</si>
  <si>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</si>
  <si>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</si>
  <si>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</si>
  <si>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</si>
  <si>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</si>
  <si>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</si>
  <si>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</si>
  <si>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</si>
  <si>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</si>
  <si>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</si>
  <si>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</si>
  <si>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</si>
  <si>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</si>
  <si>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</si>
  <si>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</si>
  <si>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</si>
  <si>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</si>
  <si>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</si>
  <si>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</si>
  <si>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</si>
  <si>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</si>
  <si>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</si>
  <si>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</si>
  <si>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</si>
  <si>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</si>
  <si>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</si>
  <si>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</si>
  <si>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</si>
  <si>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</si>
  <si>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</si>
  <si>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</si>
  <si>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</si>
  <si>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</si>
  <si>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</si>
  <si>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</si>
  <si>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</si>
  <si>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</si>
  <si>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</si>
  <si>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</si>
  <si>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</si>
  <si>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</si>
  <si>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</si>
  <si>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</si>
  <si>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</si>
  <si>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</si>
  <si>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</si>
  <si>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</si>
  <si>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</si>
  <si>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</si>
  <si>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</si>
  <si>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</si>
  <si>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</si>
  <si>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</si>
  <si>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</si>
  <si>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</si>
  <si>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</si>
  <si>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</si>
  <si>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</si>
  <si>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</si>
  <si>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</si>
  <si>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</si>
  <si>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</si>
  <si>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</si>
  <si>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</si>
  <si>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</si>
  <si>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</si>
  <si>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</si>
  <si>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</si>
  <si>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</si>
  <si>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</si>
  <si>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</si>
  <si>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</si>
  <si>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</si>
  <si>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</si>
  <si>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</si>
  <si>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</si>
  <si>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</si>
  <si>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</si>
  <si>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</si>
  <si>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</si>
  <si>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</si>
  <si>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</si>
  <si>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</si>
  <si>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</si>
  <si>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</si>
  <si>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</si>
  <si>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</si>
  <si>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</si>
  <si>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</si>
  <si>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</si>
  <si>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</si>
  <si>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</si>
  <si>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</si>
  <si>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</si>
  <si>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</si>
  <si>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</si>
  <si>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</si>
  <si>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</si>
  <si>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</si>
  <si>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</si>
  <si>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</si>
  <si>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</si>
  <si>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</si>
  <si>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</si>
  <si>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</si>
  <si>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</si>
  <si>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</si>
  <si>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</si>
  <si>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</si>
  <si>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</si>
  <si>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</si>
  <si>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</si>
  <si>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</si>
  <si>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</si>
  <si>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</si>
  <si>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</si>
  <si>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</si>
  <si>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</si>
  <si>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</si>
  <si>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</si>
  <si>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</si>
  <si>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</si>
  <si>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</si>
  <si>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</si>
  <si>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</si>
  <si>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</si>
  <si>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</si>
  <si>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</si>
  <si>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</si>
  <si>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</si>
  <si>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</si>
  <si>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</si>
  <si>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</si>
  <si>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</si>
  <si>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</si>
  <si>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</si>
  <si>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</si>
  <si>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</si>
  <si>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</si>
  <si>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</si>
  <si>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</si>
  <si>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</si>
  <si>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</si>
  <si>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</si>
  <si>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</si>
  <si>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</si>
  <si>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</si>
  <si>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</si>
  <si>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</si>
  <si>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</si>
  <si>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</si>
  <si>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</si>
  <si>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</si>
  <si>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</si>
  <si>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</si>
  <si>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</si>
  <si>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</si>
  <si>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</si>
  <si>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</si>
  <si>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</si>
  <si>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</si>
  <si>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</si>
  <si>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</si>
  <si>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</si>
  <si>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</si>
  <si>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</si>
  <si>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</si>
  <si>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</si>
  <si>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</si>
  <si>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</si>
  <si>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</si>
  <si>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</si>
  <si>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</si>
  <si>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</si>
  <si>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</si>
  <si>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</si>
  <si>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</si>
  <si>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</si>
  <si>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</si>
  <si>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</si>
  <si>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</si>
  <si>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</si>
  <si>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</si>
  <si>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</si>
  <si>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</si>
  <si>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</si>
  <si>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</si>
  <si>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</si>
  <si>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</si>
  <si>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</si>
  <si>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</si>
  <si>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</si>
  <si>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</si>
  <si>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</si>
  <si>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</si>
  <si>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</si>
  <si>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</si>
  <si>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</si>
  <si>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</si>
  <si>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</si>
  <si>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</si>
  <si>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</si>
  <si>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</si>
  <si>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</si>
  <si>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</si>
  <si>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</si>
  <si>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</si>
  <si>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</si>
  <si>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</si>
  <si>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</si>
  <si>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</si>
  <si>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</si>
  <si>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</si>
  <si>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</si>
  <si>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</si>
  <si>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</si>
  <si>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</si>
  <si>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</si>
  <si>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</si>
  <si>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</si>
  <si>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</si>
  <si>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</si>
  <si>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</si>
  <si>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</si>
  <si>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</si>
  <si>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</si>
  <si>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</si>
  <si>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</si>
  <si>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</si>
  <si>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</si>
  <si>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</si>
  <si>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</si>
  <si>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</si>
  <si>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</si>
  <si>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</si>
  <si>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</si>
  <si>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</si>
  <si>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</si>
  <si>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</si>
  <si>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</si>
  <si>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</si>
  <si>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</si>
  <si>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</si>
  <si>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</si>
  <si>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</si>
  <si>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</si>
  <si>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</si>
  <si>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</si>
  <si>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</si>
  <si>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</si>
  <si>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</si>
  <si>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</si>
  <si>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</si>
  <si>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</si>
  <si>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</si>
  <si>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</si>
  <si>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</si>
  <si>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</si>
  <si>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</si>
  <si>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</si>
  <si>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</si>
  <si>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</si>
  <si>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</si>
  <si>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</si>
  <si>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</si>
  <si>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</si>
  <si>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</si>
  <si>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</si>
  <si>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</si>
  <si>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</si>
  <si>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</si>
  <si>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</si>
  <si>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</si>
  <si>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</si>
  <si>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</si>
  <si>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</si>
  <si>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</si>
  <si>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</si>
  <si>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</si>
  <si>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</si>
  <si>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</si>
  <si>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</si>
  <si>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</si>
  <si>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</si>
  <si>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</si>
  <si>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</si>
  <si>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</si>
  <si>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</si>
  <si>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</si>
  <si>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</si>
  <si>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</si>
  <si>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</si>
  <si>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</si>
  <si>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</si>
  <si>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</si>
  <si>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</si>
  <si>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</si>
  <si>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</si>
  <si>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</si>
  <si>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</si>
  <si>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</si>
  <si>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</si>
  <si>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</si>
  <si>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</si>
  <si>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</si>
  <si>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</si>
  <si>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</si>
  <si>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</si>
  <si>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</si>
  <si>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</si>
  <si>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</si>
  <si>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</si>
  <si>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</si>
  <si>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</si>
  <si>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</si>
  <si>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</si>
  <si>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</si>
  <si>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</si>
  <si>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</si>
  <si>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</si>
  <si>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</si>
  <si>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</si>
  <si>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</si>
  <si>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</si>
  <si>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</si>
  <si>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</si>
  <si>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</si>
  <si>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</si>
  <si>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</si>
  <si>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</si>
  <si>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</si>
  <si>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</si>
  <si>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</si>
  <si>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</si>
  <si>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</si>
  <si>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</si>
  <si>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</si>
  <si>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</si>
  <si>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</si>
  <si>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</si>
  <si>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</si>
  <si>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</si>
  <si>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</si>
  <si>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</si>
  <si>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</si>
  <si>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</si>
  <si>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</si>
  <si>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</si>
  <si>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</si>
  <si>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</si>
  <si>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</si>
  <si>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</si>
  <si>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</si>
  <si>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</si>
  <si>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</si>
  <si>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</si>
  <si>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</si>
  <si>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</si>
  <si>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</si>
  <si>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</si>
  <si>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</si>
  <si>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</si>
  <si>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</si>
  <si>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</si>
  <si>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</si>
  <si>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</si>
  <si>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</si>
  <si>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</si>
  <si>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</si>
  <si>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</si>
  <si>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</si>
  <si>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</si>
  <si>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</si>
  <si>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</si>
  <si>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</si>
  <si>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</si>
  <si>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</si>
  <si>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</si>
  <si>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</si>
  <si>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</si>
  <si>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</si>
  <si>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</si>
  <si>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</si>
  <si>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</si>
  <si>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</si>
  <si>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</si>
  <si>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</si>
  <si>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</si>
  <si>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</si>
  <si>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</si>
  <si>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</si>
  <si>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</si>
  <si>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</si>
  <si>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</si>
  <si>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</si>
  <si>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</si>
  <si>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</si>
  <si>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</si>
  <si>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</si>
  <si>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</si>
  <si>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</si>
  <si>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</si>
  <si>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</si>
  <si>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</si>
  <si>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</si>
  <si>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</si>
  <si>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</si>
  <si>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</si>
  <si>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</si>
  <si>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</si>
  <si>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</si>
  <si>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</si>
  <si>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</si>
  <si>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</si>
  <si>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</si>
  <si>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</si>
  <si>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</si>
  <si>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</si>
  <si>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</si>
  <si>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</si>
  <si>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</si>
  <si>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</si>
  <si>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</si>
  <si>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</si>
  <si>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</si>
  <si>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</si>
  <si>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</si>
  <si>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</si>
  <si>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</si>
  <si>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</si>
  <si>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</si>
  <si>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</si>
  <si>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</si>
  <si>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</si>
  <si>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</si>
  <si>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</si>
  <si>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</si>
  <si>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</si>
  <si>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</si>
  <si>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</si>
  <si>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</si>
  <si>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</si>
  <si>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</si>
  <si>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</si>
  <si>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</si>
  <si>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</si>
  <si>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</si>
  <si>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</si>
  <si>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</si>
  <si>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</si>
  <si>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</si>
  <si>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</si>
  <si>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</si>
  <si>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</si>
  <si>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</si>
  <si>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</si>
  <si>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</si>
  <si>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</si>
  <si>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</si>
  <si>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</si>
  <si>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</si>
  <si>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</si>
  <si>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</si>
  <si>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</si>
  <si>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</si>
  <si>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</si>
  <si>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</si>
  <si>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</si>
  <si>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</si>
  <si>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</si>
  <si>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</si>
  <si>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</si>
  <si>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</si>
  <si>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</si>
  <si>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</si>
  <si>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</si>
  <si>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</si>
  <si>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</si>
  <si>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</si>
  <si>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</si>
  <si>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</si>
  <si>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</si>
  <si>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</si>
  <si>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</si>
  <si>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</si>
  <si>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</si>
  <si>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</si>
  <si>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</si>
  <si>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</si>
  <si>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</si>
  <si>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</si>
  <si>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</si>
  <si>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</si>
  <si>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</si>
  <si>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</si>
  <si>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</si>
  <si>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</si>
  <si>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</si>
  <si>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</si>
  <si>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</si>
  <si>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</si>
  <si>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</si>
  <si>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</si>
  <si>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</si>
  <si>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</si>
  <si>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</si>
  <si>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</si>
  <si>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</si>
  <si>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</si>
  <si>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</si>
  <si>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</si>
  <si>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</si>
  <si>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</si>
  <si>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</si>
  <si>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</si>
  <si>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</si>
  <si>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</si>
  <si>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</si>
  <si>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</si>
  <si>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</si>
  <si>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</si>
  <si>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</si>
  <si>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</si>
  <si>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</si>
  <si>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</si>
  <si>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</si>
  <si>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</si>
  <si>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</si>
  <si>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</si>
  <si>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</si>
  <si>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</si>
  <si>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</si>
  <si>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</si>
  <si>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</si>
  <si>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</si>
  <si>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</si>
  <si>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</si>
  <si>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</si>
  <si>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</si>
  <si>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</si>
  <si>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</si>
  <si>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</si>
  <si>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</si>
  <si>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</si>
  <si>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</si>
  <si>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</si>
  <si>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</si>
  <si>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</si>
  <si>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</si>
  <si>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</si>
  <si>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</si>
  <si>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</si>
  <si>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</si>
  <si>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</si>
  <si>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</si>
  <si>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</si>
  <si>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</si>
  <si>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</si>
  <si>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</si>
  <si>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</si>
  <si>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</si>
  <si>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</si>
  <si>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</si>
  <si>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</si>
  <si>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</si>
  <si>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</si>
  <si>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</si>
  <si>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</si>
  <si>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</si>
  <si>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</si>
  <si>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</si>
  <si>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</si>
  <si>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</si>
  <si>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</si>
  <si>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</si>
  <si>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</si>
  <si>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</si>
  <si>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</si>
  <si>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</si>
  <si>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</si>
  <si>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</si>
  <si>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</si>
  <si>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</si>
  <si>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</si>
  <si>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</si>
  <si>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</si>
  <si>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</si>
  <si>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</si>
  <si>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</si>
  <si>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</si>
  <si>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</si>
  <si>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</si>
  <si>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</si>
  <si>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</si>
  <si>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</si>
  <si>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</si>
  <si>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</si>
  <si>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</si>
  <si>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</si>
  <si>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</si>
  <si>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</si>
  <si>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</si>
  <si>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</si>
  <si>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</si>
  <si>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</si>
  <si>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</si>
  <si>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</si>
  <si>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</si>
  <si>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</si>
  <si>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</si>
  <si>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</si>
  <si>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</si>
  <si>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</si>
  <si>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</si>
  <si>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</si>
  <si>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</si>
  <si>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</si>
  <si>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</si>
  <si>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</si>
  <si>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</si>
  <si>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</si>
  <si>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</si>
  <si>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</si>
  <si>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</si>
  <si>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</si>
  <si>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</si>
  <si>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</si>
  <si>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</si>
  <si>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</si>
  <si>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</si>
  <si>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</si>
  <si>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</si>
  <si>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</si>
  <si>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</si>
  <si>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</si>
  <si>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</si>
  <si>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</si>
  <si>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</si>
  <si>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</si>
  <si>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</si>
  <si>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</si>
  <si>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</si>
  <si>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</si>
  <si>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</si>
  <si>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</si>
  <si>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</si>
  <si>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</si>
  <si>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</si>
  <si>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</si>
  <si>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</si>
  <si>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</si>
  <si>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</si>
  <si>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</si>
  <si>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</si>
  <si>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</si>
  <si>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</si>
  <si>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</si>
  <si>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</si>
  <si>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</si>
  <si>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</si>
  <si>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</si>
  <si>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</si>
  <si>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</si>
  <si>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</si>
  <si>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</si>
  <si>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</si>
  <si>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</si>
  <si>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</si>
  <si>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</si>
  <si>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</si>
  <si>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</si>
  <si>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</si>
  <si>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</si>
  <si>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</si>
  <si>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</si>
  <si>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</si>
  <si>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</si>
  <si>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</si>
  <si>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</si>
  <si>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</si>
  <si>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</si>
  <si>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</si>
  <si>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</si>
  <si>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</si>
  <si>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</si>
  <si>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</si>
  <si>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</si>
  <si>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</si>
  <si>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</si>
  <si>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</si>
  <si>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</si>
  <si>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</si>
  <si>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</si>
  <si>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</si>
  <si>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</si>
  <si>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</si>
  <si>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</si>
  <si>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</si>
  <si>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</si>
  <si>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</si>
  <si>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</si>
  <si>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</si>
  <si>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</si>
  <si>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</si>
  <si>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</si>
  <si>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</si>
  <si>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</si>
  <si>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</si>
  <si>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</si>
  <si>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</si>
  <si>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</si>
  <si>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</si>
  <si>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</si>
  <si>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</si>
  <si>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</si>
  <si>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</si>
  <si>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</si>
  <si>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</si>
  <si>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</si>
  <si>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</si>
  <si>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</si>
  <si>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</si>
  <si>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</si>
  <si>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</si>
  <si>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</si>
  <si>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</si>
  <si>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</si>
  <si>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</si>
  <si>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</si>
  <si>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</si>
  <si>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</si>
  <si>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</si>
  <si>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</si>
  <si>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</si>
  <si>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</si>
  <si>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</si>
  <si>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</si>
  <si>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</si>
  <si>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</si>
  <si>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</si>
  <si>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</si>
  <si>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</si>
  <si>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</si>
  <si>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</si>
  <si>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</si>
  <si>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</si>
  <si>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</si>
  <si>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</si>
  <si>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</si>
  <si>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</si>
  <si>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</si>
  <si>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</si>
  <si>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</si>
  <si>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</si>
  <si>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</si>
  <si>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</si>
  <si>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</si>
  <si>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</si>
  <si>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</si>
  <si>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</si>
  <si>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</si>
  <si>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</si>
  <si>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</si>
  <si>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</si>
  <si>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</si>
  <si>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</si>
  <si>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</si>
  <si>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</si>
  <si>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</si>
  <si>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</si>
  <si>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</si>
  <si>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</si>
  <si>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</si>
  <si>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</si>
  <si>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</si>
  <si>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</si>
  <si>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</si>
  <si>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</si>
  <si>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</si>
  <si>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</si>
  <si>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</si>
  <si>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</si>
  <si>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</si>
  <si>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</si>
  <si>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</si>
  <si>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</si>
  <si>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</si>
  <si>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</si>
  <si>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</si>
  <si>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</si>
  <si>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</si>
  <si>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</si>
  <si>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</si>
  <si>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</si>
  <si>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</si>
  <si>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</si>
  <si>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</si>
  <si>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</si>
  <si>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</si>
  <si>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</si>
  <si>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</si>
  <si>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</si>
  <si>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</si>
  <si>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</si>
  <si>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</si>
  <si>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</si>
  <si>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</si>
  <si>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</si>
  <si>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</si>
  <si>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</si>
  <si>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</si>
  <si>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</si>
  <si>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</si>
  <si>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</si>
  <si>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</si>
  <si>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</si>
  <si>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</si>
  <si>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</si>
  <si>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</si>
  <si>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</si>
  <si>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</si>
  <si>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</si>
  <si>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</si>
  <si>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</si>
  <si>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</si>
  <si>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</si>
  <si>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</si>
  <si>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</si>
  <si>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</si>
  <si>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</si>
  <si>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</si>
  <si>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</si>
  <si>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</si>
  <si>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</si>
  <si>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</si>
  <si>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</si>
  <si>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</si>
  <si>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</si>
  <si>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</si>
  <si>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</si>
  <si>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</si>
  <si>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</si>
  <si>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</si>
  <si>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</si>
  <si>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</si>
  <si>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</si>
  <si>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</si>
  <si>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</si>
  <si>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</si>
  <si>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</si>
  <si>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</si>
  <si>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</si>
  <si>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</si>
  <si>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</si>
  <si>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</si>
  <si>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</si>
  <si>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</si>
  <si>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</si>
  <si>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</si>
  <si>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</si>
  <si>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</si>
  <si>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</si>
  <si>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</si>
  <si>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</si>
  <si>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</si>
  <si>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</si>
  <si>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</si>
  <si>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</si>
  <si>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</si>
  <si>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</si>
  <si>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</si>
  <si>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</si>
  <si>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</si>
  <si>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</si>
  <si>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</si>
  <si>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</si>
  <si>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</si>
  <si>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</si>
  <si>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</si>
  <si>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</si>
  <si>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</si>
  <si>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</si>
  <si>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</si>
  <si>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</si>
  <si>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</si>
  <si>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</si>
  <si>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</si>
  <si>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</si>
  <si>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</si>
  <si>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</si>
  <si>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</si>
  <si>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</si>
  <si>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</si>
  <si>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</si>
  <si>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</si>
  <si>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</si>
  <si>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</si>
  <si>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</si>
  <si>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</si>
  <si>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</si>
  <si>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</si>
  <si>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</si>
  <si>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</si>
  <si>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</si>
  <si>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</si>
  <si>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</si>
  <si>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</si>
  <si>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</si>
  <si>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</si>
  <si>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</si>
  <si>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</si>
  <si>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</si>
  <si>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</si>
  <si>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</si>
  <si>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</si>
  <si>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</si>
  <si>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</si>
  <si>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</si>
  <si>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</si>
  <si>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</si>
  <si>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</si>
  <si>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</si>
  <si>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</si>
  <si>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</si>
  <si>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</si>
  <si>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</si>
  <si>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</si>
  <si>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</si>
  <si>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</si>
  <si>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</si>
  <si>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</si>
  <si>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</si>
  <si>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</si>
  <si>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</si>
  <si>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</si>
  <si>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</si>
  <si>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</si>
  <si>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</si>
  <si>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</si>
  <si>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</si>
  <si>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</si>
  <si>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</si>
  <si>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</si>
  <si>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</si>
  <si>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</si>
  <si>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</si>
  <si>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</si>
  <si>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</si>
  <si>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</si>
  <si>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</si>
  <si>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</si>
  <si>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</si>
  <si>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</si>
  <si>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</si>
  <si>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</si>
  <si>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</si>
  <si>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</si>
  <si>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</si>
  <si>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</si>
  <si>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</si>
  <si>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</si>
  <si>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</si>
  <si>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</si>
  <si>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</si>
  <si>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</si>
  <si>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</si>
  <si>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</si>
  <si>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</si>
  <si>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</si>
  <si>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</si>
  <si>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</si>
  <si>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</si>
  <si>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</si>
  <si>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</si>
  <si>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</si>
  <si>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</si>
  <si>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</si>
  <si>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</si>
  <si>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</si>
  <si>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</si>
  <si>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</si>
  <si>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</si>
  <si>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</si>
  <si>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</si>
  <si>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</si>
  <si>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</si>
  <si>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</si>
  <si>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</si>
  <si>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</si>
  <si>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</si>
  <si>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</si>
  <si>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</si>
  <si>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</si>
  <si>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</si>
  <si>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</si>
  <si>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</si>
  <si>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</si>
  <si>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</si>
  <si>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</si>
  <si>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</si>
  <si>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</si>
  <si>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</si>
  <si>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</si>
  <si>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</si>
  <si>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</si>
  <si>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</si>
  <si>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</si>
  <si>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</si>
  <si>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</si>
  <si>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</si>
  <si>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</si>
  <si>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</si>
  <si>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</si>
  <si>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</si>
  <si>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</si>
  <si>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</si>
  <si>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</si>
  <si>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</si>
  <si>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</si>
  <si>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</si>
  <si>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</si>
  <si>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</si>
  <si>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</si>
  <si>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</si>
  <si>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</si>
  <si>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</si>
  <si>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</si>
  <si>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</si>
  <si>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</si>
  <si>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</si>
  <si>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</si>
  <si>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</si>
  <si>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</si>
  <si>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</si>
  <si>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</si>
  <si>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</si>
  <si>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</si>
  <si>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</si>
  <si>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</si>
  <si>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</si>
  <si>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</si>
  <si>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</si>
  <si>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</si>
  <si>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</si>
  <si>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</si>
  <si>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</si>
  <si>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</si>
  <si>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</si>
  <si>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</si>
  <si>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</si>
  <si>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</si>
  <si>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</si>
  <si>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</si>
  <si>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</si>
  <si>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</si>
  <si>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</si>
  <si>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</si>
  <si>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</si>
  <si>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</si>
  <si>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</si>
  <si>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</si>
  <si>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</si>
  <si>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</si>
  <si>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</si>
  <si>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</si>
  <si>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</si>
  <si>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</si>
  <si>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</si>
  <si>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</si>
  <si>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</si>
  <si>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</si>
  <si>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</si>
  <si>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</si>
  <si>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</si>
  <si>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</si>
  <si>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</si>
  <si>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</si>
  <si>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</si>
  <si>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</si>
  <si>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</si>
  <si>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</si>
  <si>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</si>
  <si>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</si>
  <si>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</si>
  <si>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</si>
  <si>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</si>
  <si>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</si>
  <si>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</si>
  <si>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</si>
  <si>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</si>
  <si>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</si>
  <si>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</si>
  <si>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</si>
  <si>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</si>
  <si>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</si>
  <si>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</si>
  <si>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</si>
  <si>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</si>
  <si>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</si>
  <si>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</si>
  <si>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</si>
  <si>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</si>
  <si>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</si>
  <si>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</si>
  <si>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</si>
  <si>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</si>
  <si>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</si>
  <si>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</si>
  <si>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</si>
  <si>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</si>
  <si>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</si>
  <si>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</si>
  <si>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</si>
  <si>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</si>
  <si>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</si>
  <si>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</si>
  <si>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</si>
  <si>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</si>
  <si>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</si>
  <si>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</si>
  <si>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</si>
  <si>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</si>
  <si>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</si>
  <si>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</si>
  <si>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</si>
  <si>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</si>
  <si>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</si>
  <si>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</si>
  <si>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</si>
  <si>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</si>
  <si>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</si>
  <si>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</si>
  <si>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</si>
  <si>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</si>
  <si>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</si>
  <si>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</si>
  <si>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</si>
  <si>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</si>
  <si>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</si>
  <si>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</si>
  <si>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</si>
  <si>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</si>
  <si>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</si>
  <si>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</si>
  <si>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</si>
  <si>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</si>
  <si>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</si>
  <si>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</si>
  <si>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</si>
  <si>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</si>
  <si>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</si>
  <si>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</si>
  <si>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</si>
  <si>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</si>
  <si>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</si>
  <si>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</si>
  <si>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</si>
  <si>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</si>
  <si>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</si>
  <si>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</si>
  <si>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</si>
  <si>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</si>
  <si>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</si>
  <si>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</si>
  <si>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</si>
  <si>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</si>
  <si>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</si>
  <si>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</si>
  <si>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</si>
  <si>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</si>
  <si>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</si>
  <si>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</si>
  <si>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</si>
  <si>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</si>
  <si>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</si>
  <si>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</si>
  <si>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</si>
  <si>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</si>
  <si>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</si>
  <si>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</si>
  <si>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</si>
  <si>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</si>
  <si>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</si>
  <si>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</si>
  <si>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</si>
  <si>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</si>
  <si>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</si>
  <si>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</si>
  <si>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</si>
  <si>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</si>
  <si>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</si>
  <si>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</si>
  <si>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</si>
  <si>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</si>
  <si>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</si>
  <si>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</si>
  <si>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</si>
  <si>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</si>
  <si>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</si>
  <si>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</si>
  <si>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</si>
  <si>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</si>
  <si>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</si>
  <si>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</si>
  <si>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</si>
  <si>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</si>
  <si>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</si>
  <si>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</si>
  <si>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</si>
  <si>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</si>
  <si>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</si>
  <si>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</si>
  <si>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</si>
  <si>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</si>
  <si>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</si>
  <si>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</si>
  <si>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</si>
  <si>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</si>
  <si>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</si>
  <si>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</si>
  <si>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</si>
  <si>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</si>
  <si>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</si>
  <si>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</si>
  <si>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</si>
  <si>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</si>
  <si>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</si>
  <si>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</si>
  <si>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</si>
  <si>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</si>
  <si>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</si>
  <si>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</si>
  <si>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</si>
  <si>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</si>
  <si>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</si>
  <si>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</si>
  <si>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</si>
  <si>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</si>
  <si>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</si>
  <si>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</si>
  <si>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</si>
  <si>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</si>
  <si>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</si>
  <si>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</si>
  <si>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</si>
  <si>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</si>
  <si>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</si>
  <si>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</si>
  <si>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</si>
  <si>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</si>
  <si>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</si>
  <si>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</si>
  <si>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</si>
  <si>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</si>
  <si>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</si>
  <si>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</si>
  <si>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</si>
  <si>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</si>
  <si>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</si>
  <si>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</si>
  <si>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</si>
  <si>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</si>
  <si>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</si>
  <si>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</si>
  <si>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</si>
  <si>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</si>
  <si>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</si>
  <si>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</si>
  <si>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</si>
  <si>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</si>
  <si>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</si>
  <si>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</si>
  <si>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</si>
  <si>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</si>
  <si>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</si>
  <si>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</si>
  <si>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</si>
  <si>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</si>
  <si>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</si>
  <si>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</si>
  <si>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</si>
  <si>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</si>
  <si>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</si>
  <si>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</si>
  <si>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</si>
  <si>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</si>
  <si>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</si>
  <si>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</si>
  <si>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</si>
  <si>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</si>
  <si>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</si>
  <si>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</si>
  <si>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</si>
  <si>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</si>
  <si>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</si>
  <si>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</si>
  <si>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</si>
  <si>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</si>
  <si>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</si>
  <si>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</si>
  <si>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</si>
  <si>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</si>
  <si>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</si>
  <si>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</si>
  <si>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</si>
  <si>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</si>
  <si>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</si>
  <si>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</si>
  <si>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</si>
  <si>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</si>
  <si>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</si>
  <si>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</si>
  <si>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</si>
  <si>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</si>
  <si>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</si>
  <si>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</si>
  <si>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</si>
  <si>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</si>
  <si>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</si>
  <si>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</si>
  <si>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</si>
  <si>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</si>
  <si>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</si>
  <si>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</si>
  <si>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</si>
  <si>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</si>
  <si>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</si>
  <si>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</si>
  <si>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</si>
  <si>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</si>
  <si>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</si>
  <si>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</si>
  <si>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</si>
  <si>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</si>
  <si>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</si>
  <si>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</si>
  <si>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</si>
  <si>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</si>
  <si>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</si>
  <si>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</si>
  <si>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</si>
  <si>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</si>
  <si>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</si>
  <si>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</si>
  <si>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</si>
  <si>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</si>
  <si>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</si>
  <si>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</si>
  <si>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</si>
  <si>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</si>
  <si>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</si>
  <si>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</si>
  <si>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</si>
  <si>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</si>
  <si>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</si>
  <si>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</si>
  <si>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</si>
  <si>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</si>
  <si>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</si>
  <si>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</si>
  <si>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</si>
  <si>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</si>
  <si>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</si>
  <si>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</si>
  <si>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</si>
  <si>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</si>
  <si>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</si>
  <si>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</si>
  <si>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</si>
  <si>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</si>
  <si>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</si>
  <si>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</si>
  <si>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</si>
  <si>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</si>
  <si>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</si>
  <si>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</si>
  <si>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</si>
  <si>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</si>
  <si>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</si>
  <si>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</si>
  <si>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</si>
  <si>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</si>
  <si>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</si>
  <si>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</si>
  <si>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</si>
  <si>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</si>
  <si>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</si>
  <si>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</si>
  <si>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</si>
  <si>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</si>
  <si>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</si>
  <si>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</si>
  <si>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</si>
  <si>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</si>
  <si>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</si>
  <si>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</si>
  <si>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</si>
  <si>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</si>
  <si>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</si>
  <si>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</si>
  <si>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</si>
  <si>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</si>
  <si>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</si>
  <si>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</si>
  <si>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</si>
  <si>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</si>
  <si>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</si>
  <si>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</si>
  <si>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</si>
  <si>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</si>
  <si>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</si>
  <si>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</si>
  <si>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</si>
  <si>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</si>
  <si>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</si>
  <si>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</si>
  <si>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</si>
  <si>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</si>
  <si>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</si>
  <si>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</si>
  <si>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</si>
  <si>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</si>
  <si>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</si>
  <si>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</si>
  <si>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</si>
  <si>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</si>
  <si>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</si>
  <si>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</si>
  <si>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</si>
  <si>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</si>
  <si>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</si>
  <si>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</si>
  <si>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</si>
  <si>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</si>
  <si>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</si>
  <si>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</si>
  <si>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</si>
  <si>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</si>
  <si>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</si>
  <si>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</si>
  <si>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</si>
  <si>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</si>
  <si>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</si>
  <si>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</si>
  <si>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</si>
  <si>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</si>
  <si>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</si>
  <si>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</si>
  <si>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</si>
  <si>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</si>
  <si>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</si>
  <si>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</si>
  <si>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</si>
  <si>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</si>
  <si>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</si>
  <si>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</si>
  <si>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</si>
  <si>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</si>
  <si>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</si>
  <si>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</si>
  <si>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</si>
  <si>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</si>
  <si>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</si>
  <si>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</si>
  <si>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</si>
  <si>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</si>
  <si>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</si>
  <si>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</si>
  <si>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</si>
  <si>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</si>
  <si>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</si>
  <si>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</si>
  <si>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</si>
  <si>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</si>
  <si>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</si>
  <si>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</si>
  <si>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</si>
  <si>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</si>
  <si>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</si>
  <si>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</si>
  <si>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</si>
  <si>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</si>
  <si>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</si>
  <si>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</si>
  <si>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</si>
  <si>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</si>
  <si>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</si>
  <si>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</si>
  <si>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</si>
  <si>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</si>
  <si>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</si>
  <si>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</si>
  <si>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</si>
  <si>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</si>
  <si>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</si>
  <si>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</si>
  <si>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</si>
  <si>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</si>
  <si>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</si>
  <si>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</si>
  <si>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</si>
  <si>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</si>
  <si>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</si>
  <si>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</si>
  <si>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</si>
  <si>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</si>
  <si>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</si>
  <si>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</si>
  <si>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</si>
  <si>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</si>
  <si>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</si>
  <si>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</si>
  <si>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</si>
  <si>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</si>
  <si>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</si>
  <si>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</si>
  <si>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</si>
  <si>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</si>
  <si>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</si>
  <si>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</si>
  <si>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</si>
  <si>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</si>
  <si>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</si>
  <si>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</si>
  <si>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</si>
  <si>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</si>
  <si>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</si>
  <si>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</si>
  <si>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</si>
  <si>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</si>
  <si>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</si>
  <si>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</si>
  <si>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</si>
  <si>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</si>
  <si>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</si>
  <si>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</si>
  <si>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</si>
  <si>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</si>
  <si>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</si>
  <si>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</si>
  <si>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</si>
  <si>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</si>
  <si>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</si>
  <si>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</si>
  <si>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</si>
  <si>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</si>
  <si>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</si>
  <si>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</si>
  <si>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</si>
  <si>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</si>
  <si>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</si>
  <si>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</si>
  <si>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</si>
  <si>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</si>
  <si>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</si>
  <si>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城市次干道</t>
    <phoneticPr fontId="24" type="noConversion"/>
  </si>
  <si>
    <t>一般</t>
  </si>
  <si>
    <r>
      <rPr>
        <sz val="11"/>
        <rFont val="宋体"/>
        <family val="3"/>
        <charset val="134"/>
      </rPr>
      <t>中楼层</t>
    </r>
    <r>
      <rPr>
        <sz val="11"/>
        <rFont val="Arial"/>
        <family val="2"/>
      </rPr>
      <t>/11</t>
    </r>
    <phoneticPr fontId="24" type="noConversion"/>
  </si>
  <si>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</si>
  <si>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</si>
  <si>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</si>
  <si>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</si>
  <si>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</si>
  <si>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</si>
  <si>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</si>
  <si>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</si>
  <si>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</si>
  <si>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</si>
  <si>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</si>
  <si>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</si>
  <si>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</si>
  <si>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</si>
  <si>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</si>
  <si>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</si>
  <si>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</si>
  <si>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</si>
  <si>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</si>
  <si>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</si>
  <si>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七通</t>
    <phoneticPr fontId="134" type="noConversion"/>
  </si>
  <si>
    <t>东西</t>
    <phoneticPr fontId="134" type="noConversion"/>
  </si>
  <si>
    <t>南</t>
    <phoneticPr fontId="134" type="noConversion"/>
  </si>
  <si>
    <t>西北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</si>
  <si>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</si>
  <si>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</si>
  <si>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</si>
  <si>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</si>
  <si>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</si>
  <si>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</si>
  <si>
    <t>红莲南里</t>
    <phoneticPr fontId="3" type="noConversion"/>
  </si>
  <si>
    <t>红莲南里4号楼4-5-502</t>
    <phoneticPr fontId="134" type="noConversion"/>
  </si>
  <si>
    <t>红莲南里</t>
    <phoneticPr fontId="134" type="noConversion"/>
  </si>
  <si>
    <t>红莲南里10号楼4-5-502</t>
    <phoneticPr fontId="134" type="noConversion"/>
  </si>
  <si>
    <t>红莲南里12号楼6-1-103</t>
    <phoneticPr fontId="134" type="noConversion"/>
  </si>
  <si>
    <t>红莲南里20号楼2-1-104</t>
    <phoneticPr fontId="134" type="noConversion"/>
  </si>
  <si>
    <t>红莲南里4号楼2-6-601</t>
    <phoneticPr fontId="134" type="noConversion"/>
  </si>
  <si>
    <t>红莲南里12号楼6-1-102</t>
    <phoneticPr fontId="134" type="noConversion"/>
  </si>
  <si>
    <t>红莲南里12号楼4-4-402</t>
    <phoneticPr fontId="134" type="noConversion"/>
  </si>
  <si>
    <t>红莲南里4号楼2-2-202</t>
    <phoneticPr fontId="134" type="noConversion"/>
  </si>
  <si>
    <t>南</t>
    <phoneticPr fontId="134" type="noConversion"/>
  </si>
  <si>
    <t>普通装修</t>
    <phoneticPr fontId="134" type="noConversion"/>
  </si>
  <si>
    <t>南北</t>
  </si>
  <si>
    <t>南北</t>
    <phoneticPr fontId="134" type="noConversion"/>
  </si>
  <si>
    <t>简单装修</t>
    <phoneticPr fontId="134" type="noConversion"/>
  </si>
  <si>
    <t>2室1厅1卫1厨1小院</t>
    <phoneticPr fontId="134" type="noConversion"/>
  </si>
  <si>
    <t>户型</t>
    <phoneticPr fontId="134" type="noConversion"/>
  </si>
  <si>
    <t>2室1厅1卫1厨</t>
    <phoneticPr fontId="134" type="noConversion"/>
  </si>
  <si>
    <t>1室1厅1卫1厨</t>
    <phoneticPr fontId="134" type="noConversion"/>
  </si>
  <si>
    <r>
      <t>20-30</t>
    </r>
    <r>
      <rPr>
        <sz val="11"/>
        <color indexed="8"/>
        <rFont val="宋体"/>
        <family val="3"/>
        <charset val="134"/>
      </rPr>
      <t>（含）</t>
    </r>
    <phoneticPr fontId="24" type="noConversion"/>
  </si>
  <si>
    <r>
      <t>4/6</t>
    </r>
    <r>
      <rPr>
        <sz val="11"/>
        <rFont val="宋体"/>
        <family val="3"/>
        <charset val="134"/>
      </rPr>
      <t>（中楼层）</t>
    </r>
    <phoneticPr fontId="24" type="noConversion"/>
  </si>
  <si>
    <r>
      <rPr>
        <sz val="11"/>
        <rFont val="Arial"/>
        <family val="2"/>
      </rPr>
      <t>1/6</t>
    </r>
    <r>
      <rPr>
        <sz val="11"/>
        <rFont val="宋体"/>
        <family val="3"/>
        <charset val="134"/>
      </rPr>
      <t>（底层）</t>
    </r>
    <phoneticPr fontId="24" type="noConversion"/>
  </si>
  <si>
    <r>
      <rPr>
        <sz val="11"/>
        <rFont val="Arial"/>
        <family val="2"/>
      </rPr>
      <t>6/6</t>
    </r>
    <r>
      <rPr>
        <sz val="11"/>
        <rFont val="宋体"/>
        <family val="3"/>
        <charset val="134"/>
      </rPr>
      <t>（顶层）</t>
    </r>
    <phoneticPr fontId="24" type="noConversion"/>
  </si>
  <si>
    <r>
      <rPr>
        <sz val="11"/>
        <rFont val="Arial"/>
        <family val="2"/>
      </rPr>
      <t>4/6</t>
    </r>
    <r>
      <rPr>
        <sz val="11"/>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</si>
</sst>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FF0000"/>
      <name val="Microsoft YaHei"/>
      <family val="2"/>
      <charset val="134"/>
    </font>
    <font>
      <sz val="9"/>
      <name val="Microsoft YaHei"/>
      <family val="2"/>
      <charset val="134"/>
    </font>
    <font>
      <sz val="11"/>
      <color rgb="FF000000"/>
      <name val="宋体"/>
      <family val="3"/>
      <charset val="134"/>
    </font>
    <font>
      <sz val="1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31" fontId="271" fillId="7" borderId="1" xfId="0" applyNumberFormat="1"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2" fillId="7" borderId="15" xfId="0" applyFont="1" applyFill="1" applyBorder="1" applyAlignment="1">
      <alignment horizontal="center" vertical="center" wrapText="1"/>
    </xf>
    <xf numFmtId="0" fontId="274" fillId="0" borderId="37" xfId="0" applyNumberFormat="1" applyFont="1" applyFill="1" applyBorder="1" applyAlignment="1" applyProtection="1">
      <alignment horizontal="center" vertical="center" wrapText="1"/>
      <protection locked="0"/>
    </xf>
    <xf numFmtId="179" fontId="52" fillId="17" borderId="24" xfId="0" applyNumberFormat="1" applyFont="1" applyFill="1" applyBorder="1" applyAlignment="1" applyProtection="1">
      <alignment horizontal="center" vertical="center"/>
    </xf>
    <xf numFmtId="0" fontId="44" fillId="17" borderId="2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504001</xdr:colOff>
      <xdr:row>20</xdr:row>
      <xdr:rowOff>151929</xdr:rowOff>
    </xdr:to>
    <xdr:pic>
      <xdr:nvPicPr>
        <xdr:cNvPr id="4" name="图片 3">
          <a:extLst>
            <a:ext uri="{FF2B5EF4-FFF2-40B4-BE49-F238E27FC236}">
              <a16:creationId xmlns:a16="http://schemas.microsoft.com/office/drawing/2014/main" id="{BE198E20-5AC2-4C6A-8585-E23A06DB5AA8}"/>
            </a:ext>
          </a:extLst>
        </xdr:cNvPr>
        <xdr:cNvPicPr>
          <a:picLocks noChangeAspect="1"/>
        </xdr:cNvPicPr>
      </xdr:nvPicPr>
      <xdr:blipFill>
        <a:blip xmlns:r="http://schemas.openxmlformats.org/officeDocument/2006/relationships" r:embed="rId1"/>
        <a:stretch>
          <a:fillRect/>
        </a:stretch>
      </xdr:blipFill>
      <xdr:spPr>
        <a:xfrm>
          <a:off x="0" y="0"/>
          <a:ext cx="6590476" cy="3771429"/>
        </a:xfrm>
        <a:prstGeom prst="rect">
          <a:avLst/>
        </a:prstGeom>
      </xdr:spPr>
    </xdr:pic>
    <xdr:clientData/>
  </xdr:twoCellAnchor>
  <xdr:twoCellAnchor editAs="oneCell">
    <xdr:from>
      <xdr:col>0</xdr:col>
      <xdr:colOff>0</xdr:colOff>
      <xdr:row>21</xdr:row>
      <xdr:rowOff>0</xdr:rowOff>
    </xdr:from>
    <xdr:to>
      <xdr:col>9</xdr:col>
      <xdr:colOff>513525</xdr:colOff>
      <xdr:row>42</xdr:row>
      <xdr:rowOff>85239</xdr:rowOff>
    </xdr:to>
    <xdr:pic>
      <xdr:nvPicPr>
        <xdr:cNvPr id="5" name="图片 4">
          <a:extLst>
            <a:ext uri="{FF2B5EF4-FFF2-40B4-BE49-F238E27FC236}">
              <a16:creationId xmlns:a16="http://schemas.microsoft.com/office/drawing/2014/main" id="{57F55C6A-6063-4312-B6BB-D54491C783B5}"/>
            </a:ext>
          </a:extLst>
        </xdr:cNvPr>
        <xdr:cNvPicPr>
          <a:picLocks noChangeAspect="1"/>
        </xdr:cNvPicPr>
      </xdr:nvPicPr>
      <xdr:blipFill>
        <a:blip xmlns:r="http://schemas.openxmlformats.org/officeDocument/2006/relationships" r:embed="rId2"/>
        <a:stretch>
          <a:fillRect/>
        </a:stretch>
      </xdr:blipFill>
      <xdr:spPr>
        <a:xfrm>
          <a:off x="0" y="3800475"/>
          <a:ext cx="6600000" cy="3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16</xdr:col>
      <xdr:colOff>798873</xdr:colOff>
      <xdr:row>27</xdr:row>
      <xdr:rowOff>47280</xdr:rowOff>
    </xdr:to>
    <xdr:pic>
      <xdr:nvPicPr>
        <xdr:cNvPr id="8" name="图片 7">
          <a:extLst>
            <a:ext uri="{FF2B5EF4-FFF2-40B4-BE49-F238E27FC236}">
              <a16:creationId xmlns:a16="http://schemas.microsoft.com/office/drawing/2014/main" id="{54E1018B-913C-4FD2-8AC2-5ECF81093BF3}"/>
            </a:ext>
          </a:extLst>
        </xdr:cNvPr>
        <xdr:cNvPicPr>
          <a:picLocks noChangeAspect="1"/>
        </xdr:cNvPicPr>
      </xdr:nvPicPr>
      <xdr:blipFill>
        <a:blip xmlns:r="http://schemas.openxmlformats.org/officeDocument/2006/relationships" r:embed="rId1"/>
        <a:stretch>
          <a:fillRect/>
        </a:stretch>
      </xdr:blipFill>
      <xdr:spPr>
        <a:xfrm>
          <a:off x="1352550" y="3076575"/>
          <a:ext cx="9819048" cy="2761905"/>
        </a:xfrm>
        <a:prstGeom prst="rect">
          <a:avLst/>
        </a:prstGeom>
      </xdr:spPr>
    </xdr:pic>
    <xdr:clientData/>
  </xdr:twoCellAnchor>
  <xdr:twoCellAnchor editAs="oneCell">
    <xdr:from>
      <xdr:col>0</xdr:col>
      <xdr:colOff>0</xdr:colOff>
      <xdr:row>10</xdr:row>
      <xdr:rowOff>85725</xdr:rowOff>
    </xdr:from>
    <xdr:to>
      <xdr:col>16</xdr:col>
      <xdr:colOff>798873</xdr:colOff>
      <xdr:row>11</xdr:row>
      <xdr:rowOff>95223</xdr:rowOff>
    </xdr:to>
    <xdr:pic>
      <xdr:nvPicPr>
        <xdr:cNvPr id="9" name="图片 8">
          <a:extLst>
            <a:ext uri="{FF2B5EF4-FFF2-40B4-BE49-F238E27FC236}">
              <a16:creationId xmlns:a16="http://schemas.microsoft.com/office/drawing/2014/main" id="{3691489D-CA04-4914-BB29-4692195879F6}"/>
            </a:ext>
          </a:extLst>
        </xdr:cNvPr>
        <xdr:cNvPicPr>
          <a:picLocks noChangeAspect="1"/>
        </xdr:cNvPicPr>
      </xdr:nvPicPr>
      <xdr:blipFill>
        <a:blip xmlns:r="http://schemas.openxmlformats.org/officeDocument/2006/relationships" r:embed="rId2"/>
        <a:stretch>
          <a:fillRect/>
        </a:stretch>
      </xdr:blipFill>
      <xdr:spPr>
        <a:xfrm>
          <a:off x="1352550" y="2800350"/>
          <a:ext cx="9819048" cy="219048"/>
        </a:xfrm>
        <a:prstGeom prst="rect">
          <a:avLst/>
        </a:prstGeom>
      </xdr:spPr>
    </xdr:pic>
    <xdr:clientData/>
  </xdr:twoCellAnchor>
  <xdr:twoCellAnchor editAs="oneCell">
    <xdr:from>
      <xdr:col>0</xdr:col>
      <xdr:colOff>0</xdr:colOff>
      <xdr:row>27</xdr:row>
      <xdr:rowOff>66675</xdr:rowOff>
    </xdr:from>
    <xdr:to>
      <xdr:col>16</xdr:col>
      <xdr:colOff>808396</xdr:colOff>
      <xdr:row>37</xdr:row>
      <xdr:rowOff>95020</xdr:rowOff>
    </xdr:to>
    <xdr:pic>
      <xdr:nvPicPr>
        <xdr:cNvPr id="10" name="图片 9">
          <a:extLst>
            <a:ext uri="{FF2B5EF4-FFF2-40B4-BE49-F238E27FC236}">
              <a16:creationId xmlns:a16="http://schemas.microsoft.com/office/drawing/2014/main" id="{952C093F-BF1F-45E3-9178-E5FDF1AA74CB}"/>
            </a:ext>
          </a:extLst>
        </xdr:cNvPr>
        <xdr:cNvPicPr>
          <a:picLocks noChangeAspect="1"/>
        </xdr:cNvPicPr>
      </xdr:nvPicPr>
      <xdr:blipFill>
        <a:blip xmlns:r="http://schemas.openxmlformats.org/officeDocument/2006/relationships" r:embed="rId3"/>
        <a:stretch>
          <a:fillRect/>
        </a:stretch>
      </xdr:blipFill>
      <xdr:spPr>
        <a:xfrm>
          <a:off x="1333500" y="5857875"/>
          <a:ext cx="9828571" cy="1838095"/>
        </a:xfrm>
        <a:prstGeom prst="rect">
          <a:avLst/>
        </a:prstGeom>
      </xdr:spPr>
    </xdr:pic>
    <xdr:clientData/>
  </xdr:twoCellAnchor>
  <xdr:twoCellAnchor editAs="oneCell">
    <xdr:from>
      <xdr:col>0</xdr:col>
      <xdr:colOff>0</xdr:colOff>
      <xdr:row>37</xdr:row>
      <xdr:rowOff>133350</xdr:rowOff>
    </xdr:from>
    <xdr:to>
      <xdr:col>16</xdr:col>
      <xdr:colOff>817920</xdr:colOff>
      <xdr:row>42</xdr:row>
      <xdr:rowOff>161808</xdr:rowOff>
    </xdr:to>
    <xdr:pic>
      <xdr:nvPicPr>
        <xdr:cNvPr id="11" name="图片 10">
          <a:extLst>
            <a:ext uri="{FF2B5EF4-FFF2-40B4-BE49-F238E27FC236}">
              <a16:creationId xmlns:a16="http://schemas.microsoft.com/office/drawing/2014/main" id="{1AD3AB3C-D75F-46AE-AF4F-0B9B3D1DE220}"/>
            </a:ext>
          </a:extLst>
        </xdr:cNvPr>
        <xdr:cNvPicPr>
          <a:picLocks noChangeAspect="1"/>
        </xdr:cNvPicPr>
      </xdr:nvPicPr>
      <xdr:blipFill>
        <a:blip xmlns:r="http://schemas.openxmlformats.org/officeDocument/2006/relationships" r:embed="rId4"/>
        <a:stretch>
          <a:fillRect/>
        </a:stretch>
      </xdr:blipFill>
      <xdr:spPr>
        <a:xfrm>
          <a:off x="1323975" y="7734300"/>
          <a:ext cx="9838095" cy="933333"/>
        </a:xfrm>
        <a:prstGeom prst="rect">
          <a:avLst/>
        </a:prstGeom>
      </xdr:spPr>
    </xdr:pic>
    <xdr:clientData/>
  </xdr:twoCellAnchor>
  <xdr:twoCellAnchor editAs="oneCell">
    <xdr:from>
      <xdr:col>0</xdr:col>
      <xdr:colOff>0</xdr:colOff>
      <xdr:row>43</xdr:row>
      <xdr:rowOff>0</xdr:rowOff>
    </xdr:from>
    <xdr:to>
      <xdr:col>16</xdr:col>
      <xdr:colOff>589349</xdr:colOff>
      <xdr:row>49</xdr:row>
      <xdr:rowOff>18912</xdr:rowOff>
    </xdr:to>
    <xdr:pic>
      <xdr:nvPicPr>
        <xdr:cNvPr id="12" name="图片 11">
          <a:extLst>
            <a:ext uri="{FF2B5EF4-FFF2-40B4-BE49-F238E27FC236}">
              <a16:creationId xmlns:a16="http://schemas.microsoft.com/office/drawing/2014/main" id="{F6B7B79F-0921-425A-BCA7-7973D86C12C5}"/>
            </a:ext>
          </a:extLst>
        </xdr:cNvPr>
        <xdr:cNvPicPr>
          <a:picLocks noChangeAspect="1"/>
        </xdr:cNvPicPr>
      </xdr:nvPicPr>
      <xdr:blipFill>
        <a:blip xmlns:r="http://schemas.openxmlformats.org/officeDocument/2006/relationships" r:embed="rId5"/>
        <a:stretch>
          <a:fillRect/>
        </a:stretch>
      </xdr:blipFill>
      <xdr:spPr>
        <a:xfrm>
          <a:off x="1352550" y="8686800"/>
          <a:ext cx="9609524" cy="1104762"/>
        </a:xfrm>
        <a:prstGeom prst="rect">
          <a:avLst/>
        </a:prstGeom>
      </xdr:spPr>
    </xdr:pic>
    <xdr:clientData/>
  </xdr:twoCellAnchor>
  <xdr:twoCellAnchor editAs="oneCell">
    <xdr:from>
      <xdr:col>0</xdr:col>
      <xdr:colOff>0</xdr:colOff>
      <xdr:row>49</xdr:row>
      <xdr:rowOff>0</xdr:rowOff>
    </xdr:from>
    <xdr:to>
      <xdr:col>16</xdr:col>
      <xdr:colOff>608396</xdr:colOff>
      <xdr:row>54</xdr:row>
      <xdr:rowOff>47506</xdr:rowOff>
    </xdr:to>
    <xdr:pic>
      <xdr:nvPicPr>
        <xdr:cNvPr id="13" name="图片 12">
          <a:extLst>
            <a:ext uri="{FF2B5EF4-FFF2-40B4-BE49-F238E27FC236}">
              <a16:creationId xmlns:a16="http://schemas.microsoft.com/office/drawing/2014/main" id="{500BA842-B53E-4526-B3D1-7427FDD12F3B}"/>
            </a:ext>
          </a:extLst>
        </xdr:cNvPr>
        <xdr:cNvPicPr>
          <a:picLocks noChangeAspect="1"/>
        </xdr:cNvPicPr>
      </xdr:nvPicPr>
      <xdr:blipFill>
        <a:blip xmlns:r="http://schemas.openxmlformats.org/officeDocument/2006/relationships" r:embed="rId6"/>
        <a:stretch>
          <a:fillRect/>
        </a:stretch>
      </xdr:blipFill>
      <xdr:spPr>
        <a:xfrm>
          <a:off x="1352550" y="9772650"/>
          <a:ext cx="9628571" cy="952381"/>
        </a:xfrm>
        <a:prstGeom prst="rect">
          <a:avLst/>
        </a:prstGeom>
      </xdr:spPr>
    </xdr:pic>
    <xdr:clientData/>
  </xdr:twoCellAnchor>
  <xdr:twoCellAnchor editAs="oneCell">
    <xdr:from>
      <xdr:col>0</xdr:col>
      <xdr:colOff>0</xdr:colOff>
      <xdr:row>54</xdr:row>
      <xdr:rowOff>76200</xdr:rowOff>
    </xdr:from>
    <xdr:to>
      <xdr:col>16</xdr:col>
      <xdr:colOff>608396</xdr:colOff>
      <xdr:row>59</xdr:row>
      <xdr:rowOff>142754</xdr:rowOff>
    </xdr:to>
    <xdr:pic>
      <xdr:nvPicPr>
        <xdr:cNvPr id="14" name="图片 13">
          <a:extLst>
            <a:ext uri="{FF2B5EF4-FFF2-40B4-BE49-F238E27FC236}">
              <a16:creationId xmlns:a16="http://schemas.microsoft.com/office/drawing/2014/main" id="{F82050B5-4BDE-46AC-B48C-2DB10F9D4F28}"/>
            </a:ext>
          </a:extLst>
        </xdr:cNvPr>
        <xdr:cNvPicPr>
          <a:picLocks noChangeAspect="1"/>
        </xdr:cNvPicPr>
      </xdr:nvPicPr>
      <xdr:blipFill>
        <a:blip xmlns:r="http://schemas.openxmlformats.org/officeDocument/2006/relationships" r:embed="rId7"/>
        <a:stretch>
          <a:fillRect/>
        </a:stretch>
      </xdr:blipFill>
      <xdr:spPr>
        <a:xfrm>
          <a:off x="1343025" y="10753725"/>
          <a:ext cx="9628571"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6.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5" thickBot="1">
      <c r="A5" s="1203" t="s">
        <v>525</v>
      </c>
      <c r="B5" s="1204" t="str">
        <f>'预评函-封皮'!B49</f>
        <v>康正预评字号</v>
      </c>
    </row>
    <row r="6" spans="1:2" s="1199" customFormat="1" ht="16.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2023年7月24日（评估专业人员实地查勘之日）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5" thickBot="1">
      <c r="A18" s="1203" t="s">
        <v>534</v>
      </c>
      <c r="B18" s="1204" t="str">
        <f>'预评函-1'!A24</f>
        <v>本次评估采用的主估价方法为比较法和收益法。</v>
      </c>
    </row>
    <row r="19" spans="1:2" s="1199" customFormat="1" ht="16.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5" thickBot="1">
      <c r="A57" s="1203" t="s">
        <v>599</v>
      </c>
      <c r="B57" s="1204" t="str">
        <f>'预评函-3'!A6</f>
        <v/>
      </c>
    </row>
    <row r="58" spans="1:2" s="1199" customFormat="1" ht="16.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5" thickBot="1">
      <c r="A69" s="1203" t="s">
        <v>561</v>
      </c>
      <c r="B69" s="1205">
        <f>'预评函-4'!C31</f>
        <v>42551</v>
      </c>
    </row>
    <row r="70" spans="1:2" ht="16.5" thickTop="1">
      <c r="A70" s="1206" t="s">
        <v>562</v>
      </c>
      <c r="B70" s="1207">
        <f>'预评函-4'!A4</f>
        <v>0</v>
      </c>
    </row>
    <row r="71" spans="1:2">
      <c r="A71" s="1200" t="s">
        <v>563</v>
      </c>
      <c r="B71" s="1201">
        <f>'预评函-4'!B4</f>
        <v>0</v>
      </c>
    </row>
    <row r="72" spans="1:2">
      <c r="A72" s="1200" t="s">
        <v>564</v>
      </c>
      <c r="B72" s="1209">
        <f>'预评函-4'!A5</f>
        <v>0</v>
      </c>
    </row>
    <row r="73" spans="1:2" s="1196" customFormat="1" ht="16.5" thickBot="1">
      <c r="A73" s="1203" t="s">
        <v>565</v>
      </c>
      <c r="B73" s="1204">
        <f>'预评函-4'!B5</f>
        <v>0</v>
      </c>
    </row>
    <row r="74" spans="1:2" ht="16.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2.7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3" t="s">
        <v>2583</v>
      </c>
      <c r="J2" s="3523"/>
      <c r="K2" s="3523"/>
      <c r="L2" s="3523"/>
      <c r="M2" s="3523"/>
      <c r="N2" s="3523"/>
      <c r="O2" s="3523"/>
      <c r="P2" s="3523"/>
      <c r="Q2" s="3523"/>
      <c r="R2" s="3523"/>
    </row>
    <row r="3" spans="1:18">
      <c r="A3" s="3017" t="s">
        <v>2504</v>
      </c>
      <c r="B3" s="3018">
        <f>项目基本情况!D3</f>
        <v>45131</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v>
      </c>
      <c r="D5" s="3022">
        <f>IF(ISERROR(ROUND(POWER(1+E5,A5-C5)*(POWER(1+E5,C5)-1)/(POWER(1+E5,A5)-1),3)),0,ROUND(POWER(1+E5,A5-C5)*(POWER(1+E5,C5)-1)/(POWER(1+E5,A5)-1),4))</f>
        <v>0.15770000000000001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13.41</v>
      </c>
      <c r="D6" s="3022">
        <f>IF(ISERROR(ROUND(POWER(1+E6,A6-C6)*(POWER(1+E6,C6)-1)/(POWER(1+E6,A6)-1),3)),0,ROUND(POWER(1+E6,A6-C6)*(POWER(1+E6,C6)-1)/(POWER(1+E6,A6)-1),4))</f>
        <v>0.47599999999999998</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33.43</v>
      </c>
      <c r="D7" s="3022">
        <f>IF(ISERROR(ROUND(POWER(1+E7,A7-C7)*(POWER(1+E7,C7)-1)/(POWER(1+E7,A7)-1),3)),0,ROUND(POWER(1+E7,A7-C7)*(POWER(1+E7,C7)-1)/(POWER(1+E7,A7)-1),4))</f>
        <v>0.78059999999999996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E16" sqref="E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2" t="str">
        <f>IF(B10="北京市","北京市",C10)&amp;F10&amp;IF(结果表!G1="在建","出让国有建设用地使用权及在建建筑物",IF(结果表!G1="土地","出让国有建设用地使用权",))&amp;B9&amp;"预评估"</f>
        <v>北京市房地产市场价值预评估</v>
      </c>
      <c r="C1" s="3533"/>
      <c r="D1" s="3533"/>
      <c r="E1" s="3533"/>
      <c r="F1" s="3533"/>
      <c r="G1" s="3533"/>
      <c r="H1" s="3533"/>
      <c r="I1" s="3534"/>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45131</v>
      </c>
      <c r="C3" s="2371" t="s">
        <v>2171</v>
      </c>
      <c r="D3" s="2370">
        <f>B3</f>
        <v>45131</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35"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36"/>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56083</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30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42"/>
      <c r="C16" s="3543"/>
      <c r="D16" s="3544"/>
      <c r="E16" s="2410" t="s">
        <v>2194</v>
      </c>
      <c r="F16" s="3545"/>
      <c r="G16" s="3546"/>
      <c r="H16" s="3546"/>
      <c r="I16" s="3547"/>
      <c r="J16" s="2436"/>
      <c r="K16" s="2614"/>
      <c r="L16" s="2448"/>
      <c r="M16" s="2448"/>
      <c r="N16" s="2506"/>
      <c r="O16" s="2448"/>
      <c r="P16" s="2506"/>
      <c r="Q16" s="2436"/>
      <c r="R16" s="2436"/>
    </row>
    <row r="17" spans="1:28">
      <c r="A17" s="313" t="s">
        <v>2195</v>
      </c>
      <c r="B17" s="302" t="s">
        <v>2196</v>
      </c>
      <c r="C17" s="8">
        <f>'数据-汇总表'!E3</f>
        <v>56.8</v>
      </c>
      <c r="D17" s="2319" t="s">
        <v>2197</v>
      </c>
      <c r="E17" s="3548" t="s">
        <v>2198</v>
      </c>
      <c r="F17" s="3549"/>
      <c r="G17" s="3549"/>
      <c r="H17" s="3549"/>
      <c r="I17" s="3550"/>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51" t="s">
        <v>2202</v>
      </c>
      <c r="F18" s="3552"/>
      <c r="G18" s="3552"/>
      <c r="H18" s="3552"/>
      <c r="I18" s="3553"/>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38" t="s">
        <v>2206</v>
      </c>
      <c r="C20" s="3539"/>
      <c r="D20" s="3540" t="s">
        <v>2207</v>
      </c>
      <c r="E20" s="3541"/>
      <c r="F20" s="2644" t="s">
        <v>1056</v>
      </c>
      <c r="G20" s="2661"/>
      <c r="H20" s="2661"/>
      <c r="I20" s="2661"/>
      <c r="J20" s="2436"/>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5"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5"/>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5"/>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6"/>
      <c r="B30" s="302" t="s">
        <v>2218</v>
      </c>
      <c r="C30" s="3527"/>
      <c r="D30" s="3528"/>
      <c r="E30" s="2661"/>
      <c r="F30" s="2661"/>
      <c r="G30" s="2661"/>
      <c r="H30" s="2661"/>
      <c r="I30" s="2661"/>
      <c r="J30" s="2436"/>
      <c r="K30" s="2613"/>
      <c r="L30" s="2610"/>
      <c r="M30" s="2610"/>
      <c r="N30" s="2436"/>
      <c r="O30" s="2447"/>
      <c r="P30" s="2436"/>
      <c r="Q30" s="2436"/>
      <c r="R30" s="2436"/>
      <c r="S30" s="2436"/>
      <c r="T30" s="2436"/>
      <c r="U30" s="2436"/>
      <c r="V30" s="2436"/>
    </row>
    <row r="31" spans="1:28">
      <c r="A31" s="3529"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30"/>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30"/>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24" t="s">
        <v>2228</v>
      </c>
      <c r="T34" s="2425" t="str">
        <f>NUMBERSTRING(7-K34,1)&amp;"通"</f>
        <v>七通</v>
      </c>
      <c r="U34" s="2436"/>
      <c r="V34" s="2436"/>
    </row>
    <row r="35" spans="1:30">
      <c r="A35" s="2426"/>
      <c r="B35" s="3531" t="s">
        <v>2229</v>
      </c>
      <c r="C35" s="3531"/>
      <c r="D35" s="3531"/>
      <c r="E35" s="353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v>
      </c>
      <c r="H5" s="13">
        <f t="shared" ref="H5:AT5" si="0">SUM(H13:H656)</f>
        <v>56.8</v>
      </c>
      <c r="I5" s="13">
        <f t="shared" si="0"/>
        <v>56.8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v>
      </c>
      <c r="BA5" s="15">
        <f t="shared" si="1"/>
        <v>56.8</v>
      </c>
      <c r="BB5" s="15">
        <f t="shared" si="1"/>
        <v>56.8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56.8</v>
      </c>
      <c r="H13" s="17">
        <f>SUMIF(I$12:AB$12,"总值",I13:AB13)</f>
        <v>56.8</v>
      </c>
      <c r="I13" s="1625">
        <v>56.8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v>
      </c>
      <c r="BA13" s="13">
        <f>SUM(BB13:BK13)</f>
        <v>56.8</v>
      </c>
      <c r="BB13" s="13">
        <f>IF($D13="是",I13-J13,0)</f>
        <v>56.8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SheetLayoutView="80" workbookViewId="0">
      <selection activeCell="E30" sqref="E30"/>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8" t="s">
        <v>1108</v>
      </c>
      <c r="F2" s="2656"/>
      <c r="G2" s="2647"/>
      <c r="H2" s="2648"/>
      <c r="I2" s="2322" t="s">
        <v>1132</v>
      </c>
      <c r="J2" s="2656"/>
      <c r="K2" s="2656"/>
      <c r="L2" s="2656"/>
      <c r="M2" s="2656"/>
      <c r="N2" s="2658"/>
      <c r="O2" s="2656"/>
      <c r="P2" s="2656"/>
    </row>
    <row r="3" spans="1:16" ht="15.75" thickBot="1">
      <c r="A3" s="3564" t="s">
        <v>1105</v>
      </c>
      <c r="B3" s="3564"/>
      <c r="C3" s="3564"/>
      <c r="D3" s="43">
        <f>'数据-基础表'!AY6</f>
        <v>0</v>
      </c>
      <c r="E3" s="43">
        <f>'数据-基础表'!AZ5</f>
        <v>56.8</v>
      </c>
      <c r="F3" s="2656"/>
      <c r="G3" s="1145"/>
      <c r="H3" s="1026" t="s">
        <v>1106</v>
      </c>
      <c r="I3" s="855" t="e">
        <f>ROUND('数据-基础表'!B3/'数据-基础表'!A3,2)</f>
        <v>#DIV/0!</v>
      </c>
      <c r="J3" s="2656"/>
      <c r="K3" s="2656"/>
      <c r="L3" s="2656"/>
      <c r="M3" s="2656"/>
      <c r="N3" s="2658"/>
      <c r="O3" s="2656"/>
      <c r="P3" s="2656"/>
    </row>
    <row r="4" spans="1:16" ht="15">
      <c r="A4" s="3565"/>
      <c r="B4" s="3566"/>
      <c r="C4" s="3567"/>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68" t="s">
        <v>1110</v>
      </c>
      <c r="C5" s="3568"/>
      <c r="D5" s="45">
        <f>ROUND($D$3*E5/$E$3,2)</f>
        <v>0</v>
      </c>
      <c r="E5" s="46">
        <f>SUMIF('数据-基础表'!$11:$11,"住宅",'数据-基础表'!$5:$5)</f>
        <v>56.8</v>
      </c>
      <c r="F5" s="2656"/>
      <c r="G5" s="1145"/>
      <c r="H5" s="1026" t="s">
        <v>1106</v>
      </c>
      <c r="I5" s="855" t="e">
        <f>ROUND(E31/D31,2)</f>
        <v>#DIV/0!</v>
      </c>
      <c r="J5" s="2656"/>
      <c r="K5" s="2656"/>
      <c r="L5" s="2656"/>
      <c r="M5" s="2656"/>
      <c r="N5" s="2656"/>
      <c r="O5" s="2656"/>
      <c r="P5" s="2656"/>
    </row>
    <row r="6" spans="1:16" ht="15" thickBot="1">
      <c r="A6" s="1643"/>
      <c r="B6" s="3568" t="s">
        <v>1111</v>
      </c>
      <c r="C6" s="3568"/>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60"/>
      <c r="B7" s="3561"/>
      <c r="C7" s="3562"/>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56.8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56.8</v>
      </c>
      <c r="F16" s="2656"/>
      <c r="G16" s="2657"/>
      <c r="H16" s="1647" t="s">
        <v>1135</v>
      </c>
      <c r="I16" s="1648"/>
      <c r="J16" s="1139"/>
      <c r="K16" s="3557" t="s">
        <v>1135</v>
      </c>
      <c r="L16" s="3558"/>
      <c r="M16" s="3558"/>
      <c r="N16" s="3558"/>
      <c r="O16" s="3558"/>
      <c r="P16" s="3559"/>
    </row>
    <row r="17" spans="1:19" ht="15">
      <c r="A17" s="1649" t="s">
        <v>1136</v>
      </c>
      <c r="B17" s="1650" t="s">
        <v>1137</v>
      </c>
      <c r="C17" s="1651" t="s">
        <v>1138</v>
      </c>
      <c r="D17" s="1652" t="s">
        <v>1126</v>
      </c>
      <c r="E17" s="1653" t="s">
        <v>1127</v>
      </c>
      <c r="F17" s="1654"/>
      <c r="G17" s="1655"/>
      <c r="H17" s="1656" t="s">
        <v>1139</v>
      </c>
      <c r="I17" s="1657" t="s">
        <v>1124</v>
      </c>
      <c r="J17" s="1139"/>
      <c r="K17" s="3554" t="s">
        <v>1140</v>
      </c>
      <c r="L17" s="3555"/>
      <c r="M17" s="3556"/>
      <c r="N17" s="3554" t="s">
        <v>1141</v>
      </c>
      <c r="O17" s="3555"/>
      <c r="P17" s="3556"/>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56.8</v>
      </c>
      <c r="F19" s="2792">
        <f>'数据-基础表'!I13</f>
        <v>56.8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56.8</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56.8</v>
      </c>
      <c r="F27" s="1140">
        <f>IF(SUM(F19:F26)=E8,SUM(F19:F26),"地上面积有误")</f>
        <v>56.8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56.8</v>
      </c>
      <c r="F31" s="677">
        <f>F27+F30</f>
        <v>56.8</v>
      </c>
      <c r="G31" s="678">
        <f>G27+G30</f>
        <v>0</v>
      </c>
      <c r="H31" s="2656"/>
      <c r="I31" s="2656"/>
      <c r="J31" s="2656"/>
      <c r="K31" s="2656"/>
      <c r="L31" s="2656"/>
      <c r="M31" s="2656"/>
      <c r="N31" s="2656"/>
      <c r="O31" s="2656"/>
      <c r="P31" s="2656"/>
    </row>
    <row r="32" spans="1:19">
      <c r="A32" s="1642"/>
      <c r="B32" s="1642" t="s">
        <v>1159</v>
      </c>
      <c r="C32" s="1642"/>
      <c r="D32" s="1642"/>
      <c r="E32" s="1053">
        <f>SUMIF(C19:C26,"*住宅*",E19:E26)</f>
        <v>56.8</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Z15" sqref="Z15"/>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45131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56083</v>
      </c>
      <c r="F6" s="64">
        <f>SUMIF(项目基本情况!C$12:I$12,C6,项目基本情况!C$15:I$15)</f>
        <v>30</v>
      </c>
      <c r="G6" s="65">
        <f>IF(ISERROR(ROUND(POWER(1+H6,D6-F6)*(POWER(1+H6,F6)-1)/(POWER(1+H6,D6)-1),3)),0,ROUND(POWER(1+H6,D6-F6)*(POWER(1+H6,F6)-1)/(POWER(1+H6,D6)-1),3))</f>
        <v>0.73899999999999999</v>
      </c>
      <c r="H6" s="732">
        <v>0.04</v>
      </c>
      <c r="I6" s="732">
        <v>0.04</v>
      </c>
      <c r="J6" s="66">
        <v>6.5000000000000002E-2</v>
      </c>
      <c r="K6" s="1030">
        <f>SUMIF('数据-汇总表'!C$19:C$33,A6,'数据-汇总表'!E$19:E$33)</f>
        <v>56.8</v>
      </c>
      <c r="L6" s="733">
        <v>2800</v>
      </c>
      <c r="M6" s="67">
        <f t="shared" ref="M6:M14" si="0">ROUND(K6*L6/10000,0)</f>
        <v>16</v>
      </c>
      <c r="N6" s="731">
        <v>0.6</v>
      </c>
      <c r="O6" s="67" t="str">
        <f>IF($N$5="成新度","——",ROUND(M6*N6,0))</f>
        <v>——</v>
      </c>
      <c r="P6" s="68" t="str">
        <f>IF($N$5="成新度","——",M6-O6)</f>
        <v>——</v>
      </c>
      <c r="Q6" s="3475">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6800</v>
      </c>
      <c r="V6" s="70">
        <v>0.03</v>
      </c>
      <c r="W6" s="70">
        <v>0.05</v>
      </c>
      <c r="X6" s="1040"/>
      <c r="Y6" s="71">
        <f>N6</f>
        <v>0.6</v>
      </c>
      <c r="Z6" s="72"/>
      <c r="AA6" s="66"/>
      <c r="AB6" s="66"/>
      <c r="AC6" s="1040"/>
      <c r="AD6" s="73"/>
      <c r="AE6" s="1041">
        <f ca="1">IF(AN6="",0,SUMIF(INDIRECT("'"&amp;AN6&amp;"'"&amp;"!E:E"),$AE$5,INDIRECT("'"&amp;AN6&amp;"'"&amp;"!F:F")))</f>
        <v>40</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356.37020000000001</v>
      </c>
      <c r="AP6" s="1715">
        <f>IF(C6="住宅",K6*L6,0)</f>
        <v>159040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0.73899999999999999</v>
      </c>
      <c r="H16" s="90">
        <f>ROUND(SUMPRODUCT(H6:H13,K6:K13)/SUMPRODUCT((H6:H13&gt;0)*(K6:K13)),3)</f>
        <v>0.04</v>
      </c>
      <c r="I16" s="91"/>
      <c r="J16" s="91"/>
      <c r="K16" s="92">
        <f>SUM(K6:K15)</f>
        <v>56.8</v>
      </c>
      <c r="L16" s="93">
        <f>ROUND(M16*10000/SUM(K6:K14),0)</f>
        <v>2817</v>
      </c>
      <c r="M16" s="93">
        <f>SUM(M6:M14)</f>
        <v>16</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69" t="s">
        <v>2286</v>
      </c>
      <c r="B1" s="3570"/>
      <c r="C1" s="3570"/>
      <c r="D1" s="3570"/>
      <c r="E1" s="3570"/>
      <c r="F1" s="3570"/>
      <c r="G1" s="357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3441</v>
      </c>
      <c r="H1" s="1749" t="str">
        <f>IF(G1="现房","——","估价对象范围")</f>
        <v>——</v>
      </c>
      <c r="I1" s="1750"/>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3" t="s">
        <v>1265</v>
      </c>
      <c r="B4" s="1754" t="s">
        <v>1266</v>
      </c>
      <c r="C4" s="1755" t="s">
        <v>3442</v>
      </c>
      <c r="D4" s="1755" t="s">
        <v>3389</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v>80</v>
      </c>
      <c r="D5" s="3608">
        <f>100-C5</f>
        <v>20</v>
      </c>
      <c r="E5" s="131" t="s">
        <v>1269</v>
      </c>
      <c r="F5" s="1756"/>
      <c r="G5" s="1756"/>
      <c r="H5" s="1756"/>
      <c r="I5" s="1372"/>
    </row>
    <row r="6" spans="1:12" ht="12.75">
      <c r="A6" s="3585"/>
      <c r="B6" s="3572"/>
      <c r="C6" s="3589"/>
      <c r="D6" s="3608"/>
      <c r="E6" s="131" t="s">
        <v>1270</v>
      </c>
      <c r="F6" s="1756"/>
      <c r="G6" s="1756"/>
      <c r="H6" s="1756"/>
      <c r="I6" s="1372"/>
    </row>
    <row r="7" spans="1:12" ht="12.75">
      <c r="A7" s="3585"/>
      <c r="B7" s="3572"/>
      <c r="C7" s="3590"/>
      <c r="D7" s="3608"/>
      <c r="E7" s="131" t="s">
        <v>1271</v>
      </c>
      <c r="F7" s="1756"/>
      <c r="G7" s="1756"/>
      <c r="H7" s="1756"/>
      <c r="I7" s="1372"/>
    </row>
    <row r="8" spans="1:12" ht="12.75">
      <c r="A8" s="3585" t="s">
        <v>1272</v>
      </c>
      <c r="B8" s="3572">
        <v>15</v>
      </c>
      <c r="C8" s="3588"/>
      <c r="D8" s="3608"/>
      <c r="E8" s="131" t="s">
        <v>1273</v>
      </c>
      <c r="F8" s="1756"/>
      <c r="G8" s="1756"/>
      <c r="H8" s="1756"/>
      <c r="I8" s="1372"/>
    </row>
    <row r="9" spans="1:12" ht="12.75">
      <c r="A9" s="3585"/>
      <c r="B9" s="3572"/>
      <c r="C9" s="3590"/>
      <c r="D9" s="3608"/>
      <c r="E9" s="131" t="s">
        <v>1274</v>
      </c>
      <c r="F9" s="1756"/>
      <c r="G9" s="1756"/>
      <c r="H9" s="1756"/>
      <c r="I9" s="1372"/>
    </row>
    <row r="10" spans="1:12" ht="12.75">
      <c r="A10" s="3585" t="s">
        <v>1275</v>
      </c>
      <c r="B10" s="3572">
        <v>15</v>
      </c>
      <c r="C10" s="3588"/>
      <c r="D10" s="3608"/>
      <c r="E10" s="131" t="s">
        <v>1276</v>
      </c>
      <c r="F10" s="1756"/>
      <c r="G10" s="1756"/>
      <c r="H10" s="1756"/>
      <c r="I10" s="1372"/>
    </row>
    <row r="11" spans="1:12" ht="12.75">
      <c r="A11" s="3585"/>
      <c r="B11" s="3572"/>
      <c r="C11" s="3590"/>
      <c r="D11" s="3608"/>
      <c r="E11" s="131" t="s">
        <v>1277</v>
      </c>
      <c r="F11" s="1756"/>
      <c r="G11" s="1756"/>
      <c r="H11" s="1756"/>
      <c r="I11" s="1372"/>
    </row>
    <row r="12" spans="1:12" ht="12.75">
      <c r="A12" s="3585" t="s">
        <v>1278</v>
      </c>
      <c r="B12" s="3572">
        <v>15</v>
      </c>
      <c r="C12" s="3588"/>
      <c r="D12" s="3608"/>
      <c r="E12" s="131" t="s">
        <v>1279</v>
      </c>
      <c r="F12" s="1756"/>
      <c r="G12" s="1756"/>
      <c r="H12" s="1756"/>
      <c r="I12" s="1372"/>
    </row>
    <row r="13" spans="1:12" ht="12.75">
      <c r="A13" s="3585"/>
      <c r="B13" s="3572"/>
      <c r="C13" s="3590"/>
      <c r="D13" s="3608"/>
      <c r="E13" s="131" t="s">
        <v>1280</v>
      </c>
      <c r="F13" s="1756"/>
      <c r="G13" s="1756"/>
      <c r="H13" s="1756"/>
      <c r="I13" s="1372"/>
    </row>
    <row r="14" spans="1:12" ht="12.75">
      <c r="A14" s="3585" t="s">
        <v>1281</v>
      </c>
      <c r="B14" s="3572">
        <v>30</v>
      </c>
      <c r="C14" s="3588"/>
      <c r="D14" s="3608"/>
      <c r="E14" s="131" t="s">
        <v>1282</v>
      </c>
      <c r="F14" s="1756"/>
      <c r="G14" s="1756"/>
      <c r="H14" s="1756"/>
      <c r="I14" s="1372"/>
    </row>
    <row r="15" spans="1:12" ht="12.75">
      <c r="A15" s="3585"/>
      <c r="B15" s="3572"/>
      <c r="C15" s="3589"/>
      <c r="D15" s="3608"/>
      <c r="E15" s="131" t="s">
        <v>1283</v>
      </c>
      <c r="F15" s="1756"/>
      <c r="G15" s="1756"/>
      <c r="H15" s="1756"/>
      <c r="I15" s="1372"/>
    </row>
    <row r="16" spans="1:12" ht="12.75">
      <c r="A16" s="3585"/>
      <c r="B16" s="3572"/>
      <c r="C16" s="3590"/>
      <c r="D16" s="3608"/>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595" t="s">
        <v>2131</v>
      </c>
      <c r="F18" s="3596"/>
      <c r="G18" s="3596"/>
      <c r="H18" s="3596"/>
      <c r="I18" s="3596"/>
      <c r="K18" s="302" t="s">
        <v>1289</v>
      </c>
      <c r="L18" s="302">
        <f>IF(C1="",'数据-汇总表'!E3,SUMIF(项目类型,C1,'数据-汇总表'!E17:E26)+SUMIF(项目类型,C1,'数据-汇总表'!I17:I26))</f>
        <v>56.8</v>
      </c>
      <c r="M18" s="302">
        <f>IF(C1="",'数据-汇总表'!E3,SUMIF(项目类型,C1,'数据-汇总表'!E17:E26))</f>
        <v>56.8</v>
      </c>
    </row>
    <row r="19" spans="1:36" ht="15">
      <c r="A19" s="1760" t="s">
        <v>1290</v>
      </c>
      <c r="B19" s="1761" t="s">
        <v>1291</v>
      </c>
      <c r="C19" s="134">
        <f ca="1">SUMIF(INDIRECT("'"&amp;C4&amp;"'"&amp;"!A:A"),结果表!B19,INDIRECT("'"&amp;C4&amp;"'"&amp;"!B:B"))</f>
        <v>694.84580000000005</v>
      </c>
      <c r="D19" s="135">
        <f ca="1">SUMIF(INDIRECT("'"&amp;D4&amp;"'"&amp;"!A:A"),结果表!B19,INDIRECT("'"&amp;D4&amp;"'"&amp;"!B:B"))</f>
        <v>356.37020000000001</v>
      </c>
      <c r="E19" s="1760" t="s">
        <v>1292</v>
      </c>
      <c r="F19" s="1761" t="s">
        <v>1291</v>
      </c>
      <c r="G19" s="136">
        <f ca="1">ROUND(C19*$C$18+D19*$D$18,0)</f>
        <v>627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122332</v>
      </c>
      <c r="D20" s="138">
        <f ca="1">SUMIF(INDIRECT("'"&amp;D4&amp;"'"&amp;"!A:A"),结果表!B20,INDIRECT("'"&amp;D4&amp;"'"&amp;"!B:B"))</f>
        <v>62741</v>
      </c>
      <c r="E20" s="1763"/>
      <c r="F20" s="1026" t="s">
        <v>1295</v>
      </c>
      <c r="G20" s="139">
        <f ca="1">ROUND(C20*$C$18+D20*$D$18,0)</f>
        <v>110414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0.94978648607543503</v>
      </c>
      <c r="E22" s="129"/>
      <c r="F22" s="129"/>
      <c r="G22" s="129">
        <f ca="1">G20*'数据-汇总表'!E3/10000</f>
        <v>627.15151999999989</v>
      </c>
      <c r="H22" s="129"/>
      <c r="I22" s="129"/>
    </row>
    <row r="23" spans="1:36" ht="13.5" thickBot="1">
      <c r="A23" s="1746"/>
      <c r="B23" s="1746"/>
      <c r="C23" s="1746"/>
      <c r="D23" s="1746"/>
      <c r="E23" s="129"/>
      <c r="F23" s="129"/>
      <c r="G23" s="129"/>
      <c r="H23" s="129"/>
      <c r="I23" s="129"/>
    </row>
    <row r="24" spans="1:36" ht="14.25">
      <c r="A24" s="3579" t="s">
        <v>1299</v>
      </c>
      <c r="B24" s="1761" t="s">
        <v>1291</v>
      </c>
      <c r="C24" s="136">
        <f>IF(B30=0,0,D30)</f>
        <v>0</v>
      </c>
      <c r="D24" s="1768"/>
      <c r="E24" s="129"/>
      <c r="F24" s="129"/>
      <c r="G24" s="129"/>
      <c r="H24" s="129"/>
      <c r="I24" s="129"/>
    </row>
    <row r="25" spans="1:36" ht="14.25">
      <c r="A25" s="358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110414</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9" t="s">
        <v>1312</v>
      </c>
      <c r="B36" s="1786" t="s">
        <v>1313</v>
      </c>
      <c r="C36" s="145"/>
      <c r="D36" s="1787"/>
      <c r="E36" s="1788"/>
      <c r="F36" s="1789"/>
      <c r="G36" s="129"/>
      <c r="H36" s="129"/>
      <c r="I36" s="129"/>
    </row>
    <row r="37" spans="1:15" ht="15.75" thickBot="1">
      <c r="A37" s="3600"/>
      <c r="B37" s="1673" t="s">
        <v>1314</v>
      </c>
      <c r="C37" s="147"/>
      <c r="D37" s="1139"/>
      <c r="E37" s="1139"/>
      <c r="F37" s="1789"/>
      <c r="G37" s="129"/>
      <c r="H37" s="129"/>
      <c r="I37" s="129"/>
    </row>
    <row r="38" spans="1:15" ht="15.75" thickBot="1">
      <c r="A38" s="360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6" t="s">
        <v>1326</v>
      </c>
      <c r="B45" s="3577"/>
      <c r="C45" s="3578"/>
      <c r="D45" s="155" t="e">
        <f ca="1">ROUND(H101*F45,0)</f>
        <v>#REF!</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5"/>
      <c r="I46" s="159"/>
      <c r="J46" s="2520">
        <v>1</v>
      </c>
      <c r="K46" s="3635" t="s">
        <v>1331</v>
      </c>
      <c r="L46" s="3635"/>
      <c r="M46" s="3655"/>
      <c r="N46" s="3655"/>
      <c r="O46" s="3655"/>
    </row>
    <row r="47" spans="1:15" ht="12" customHeight="1">
      <c r="A47" s="160" t="s">
        <v>1332</v>
      </c>
      <c r="B47" s="161"/>
      <c r="C47" s="162"/>
      <c r="D47" s="1087" t="s">
        <v>1333</v>
      </c>
      <c r="E47" s="302" t="s">
        <v>1334</v>
      </c>
      <c r="F47" s="163" t="s">
        <v>1335</v>
      </c>
      <c r="G47" s="2543" t="s">
        <v>1336</v>
      </c>
      <c r="H47" s="2544"/>
      <c r="I47" s="159"/>
      <c r="J47" s="2520">
        <v>2</v>
      </c>
      <c r="K47" s="3635" t="s">
        <v>1337</v>
      </c>
      <c r="L47" s="3635"/>
      <c r="M47" s="3656">
        <f>'数据-取费表'!B2</f>
        <v>45131</v>
      </c>
      <c r="N47" s="3656"/>
      <c r="O47" s="3656"/>
    </row>
    <row r="48" spans="1:15" ht="25.5">
      <c r="A48" s="3604" t="s">
        <v>1338</v>
      </c>
      <c r="B48" s="3587"/>
      <c r="C48" s="3587"/>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5"/>
      <c r="J48" s="2520">
        <v>3</v>
      </c>
      <c r="K48" s="3635" t="s">
        <v>1340</v>
      </c>
      <c r="L48" s="3635"/>
      <c r="M48" s="3657" t="e">
        <f ca="1">H101</f>
        <v>#REF!</v>
      </c>
      <c r="N48" s="3657"/>
      <c r="O48" s="3657"/>
    </row>
    <row r="49" spans="1:35" ht="25.5" customHeight="1">
      <c r="A49" s="2330" t="s">
        <v>1341</v>
      </c>
      <c r="B49" s="3571" t="s">
        <v>1342</v>
      </c>
      <c r="C49" s="3571"/>
      <c r="D49" s="1589">
        <v>0</v>
      </c>
      <c r="E49" s="324" t="s">
        <v>1343</v>
      </c>
      <c r="F49" s="2421" t="s">
        <v>28</v>
      </c>
      <c r="G49" s="3641"/>
      <c r="H49" s="2307" t="s">
        <v>2134</v>
      </c>
      <c r="I49" s="2308"/>
      <c r="J49" s="2520">
        <v>4</v>
      </c>
      <c r="K49" s="3635" t="str">
        <f>IF(项目基本情况!E8="房地产抵押价值","房地产抵押价值","抵押担保权已注销时的房地产抵押价值")</f>
        <v>抵押担保权已注销时的房地产抵押价值</v>
      </c>
      <c r="L49" s="3635"/>
      <c r="M49" s="3657" t="str">
        <f>IF(项目基本情况!E8="房地产抵押价值",H107,H109)</f>
        <v>——</v>
      </c>
      <c r="N49" s="3657"/>
      <c r="O49" s="3657"/>
    </row>
    <row r="50" spans="1:35" ht="25.5" customHeight="1">
      <c r="A50" s="2548"/>
      <c r="B50" s="3571" t="s">
        <v>1344</v>
      </c>
      <c r="C50" s="3571"/>
      <c r="D50" s="2549"/>
      <c r="E50" s="332"/>
      <c r="F50" s="2421"/>
      <c r="G50" s="3642"/>
      <c r="H50" s="2309" t="s">
        <v>2135</v>
      </c>
      <c r="I50" s="2308"/>
      <c r="J50" s="3654" t="s">
        <v>1345</v>
      </c>
      <c r="K50" s="3654"/>
      <c r="L50" s="3654"/>
      <c r="M50" s="3654"/>
      <c r="N50" s="3654"/>
      <c r="O50" s="3654"/>
    </row>
    <row r="51" spans="1:35" ht="20.45" customHeight="1">
      <c r="A51" s="2550"/>
      <c r="B51" s="3571" t="s">
        <v>1346</v>
      </c>
      <c r="C51" s="3571"/>
      <c r="D51" s="1087"/>
      <c r="E51" s="327"/>
      <c r="F51" s="2421"/>
      <c r="G51" s="3643"/>
      <c r="H51" s="2309" t="s">
        <v>2136</v>
      </c>
      <c r="I51" s="2308"/>
      <c r="J51" s="2521" t="s">
        <v>1347</v>
      </c>
      <c r="K51" s="3635" t="s">
        <v>1348</v>
      </c>
      <c r="L51" s="3635"/>
      <c r="M51" s="2521" t="s">
        <v>1349</v>
      </c>
      <c r="N51" s="2521" t="s">
        <v>1350</v>
      </c>
      <c r="O51" s="2521" t="s">
        <v>1351</v>
      </c>
    </row>
    <row r="52" spans="1:35" ht="24" customHeight="1">
      <c r="A52" s="2332" t="s">
        <v>1352</v>
      </c>
      <c r="B52" s="3571" t="s">
        <v>1353</v>
      </c>
      <c r="C52" s="3571"/>
      <c r="D52" s="1087" t="e">
        <f ca="1">ROUND(D45*'数据-取费表'!B41/(1+'数据-取费表'!C42),0)</f>
        <v>#REF!</v>
      </c>
      <c r="E52" s="2331" t="s">
        <v>1354</v>
      </c>
      <c r="F52" s="2551">
        <f>'数据-取费表'!B41</f>
        <v>5.6000000000000001E-2</v>
      </c>
      <c r="G52" s="2552"/>
      <c r="H52" s="2541"/>
      <c r="I52" s="1806"/>
      <c r="J52" s="2520">
        <v>1</v>
      </c>
      <c r="K52" s="3636" t="s">
        <v>1355</v>
      </c>
      <c r="L52" s="3636"/>
      <c r="M52" s="2522" t="b">
        <f>D48</f>
        <v>0</v>
      </c>
      <c r="N52" s="2520" t="str">
        <f>E48</f>
        <v>销售额×税（费）率</v>
      </c>
      <c r="O52" s="2523">
        <f>F48</f>
        <v>5.6000000000000001E-2</v>
      </c>
    </row>
    <row r="53" spans="1:35" ht="12" customHeight="1">
      <c r="A53" s="2332" t="s">
        <v>1356</v>
      </c>
      <c r="B53" s="3597" t="s">
        <v>2291</v>
      </c>
      <c r="C53" s="3598"/>
      <c r="D53" s="1087" t="e">
        <f ca="1">ROUND(D45*'数据-取费表'!B41/(1+'数据-取费表'!C42),0)</f>
        <v>#REF!</v>
      </c>
      <c r="E53" s="2331" t="s">
        <v>1354</v>
      </c>
      <c r="F53" s="2551">
        <f>'数据-取费表'!B41</f>
        <v>5.6000000000000001E-2</v>
      </c>
      <c r="G53" s="2552"/>
      <c r="H53" s="2541"/>
      <c r="I53" s="1806"/>
      <c r="J53" s="2520">
        <v>2</v>
      </c>
      <c r="K53" s="3636" t="s">
        <v>1357</v>
      </c>
      <c r="L53" s="3636"/>
      <c r="M53" s="2522" t="e">
        <f t="shared" ref="M53:O54" ca="1" si="0">D55</f>
        <v>#REF!</v>
      </c>
      <c r="N53" s="2520" t="str">
        <f t="shared" si="0"/>
        <v>销售额×税（费）率</v>
      </c>
      <c r="O53" s="2523" t="str">
        <f t="shared" si="0"/>
        <v>免征</v>
      </c>
    </row>
    <row r="54" spans="1:35" ht="12" customHeight="1">
      <c r="A54" s="2332" t="s">
        <v>1358</v>
      </c>
      <c r="B54" s="3597" t="s">
        <v>2292</v>
      </c>
      <c r="C54" s="3598"/>
      <c r="D54" s="1087" t="e">
        <f ca="1">C68</f>
        <v>#REF!</v>
      </c>
      <c r="E54" s="327" t="s">
        <v>1359</v>
      </c>
      <c r="F54" s="2551">
        <f>'数据-取费表'!B41</f>
        <v>5.6000000000000001E-2</v>
      </c>
      <c r="G54" s="2552"/>
      <c r="H54" s="2553"/>
      <c r="I54" s="1806"/>
      <c r="J54" s="2520">
        <v>3</v>
      </c>
      <c r="K54" s="3636" t="s">
        <v>1360</v>
      </c>
      <c r="L54" s="3636"/>
      <c r="M54" s="2522" t="e">
        <f t="shared" ca="1" si="0"/>
        <v>#REF!</v>
      </c>
      <c r="N54" s="2520" t="str">
        <f t="shared" si="0"/>
        <v>增值额×税（费）率</v>
      </c>
      <c r="O54" s="2524" t="str">
        <f t="shared" si="0"/>
        <v>免征</v>
      </c>
    </row>
    <row r="55" spans="1:35" ht="24" customHeight="1">
      <c r="A55" s="3586" t="s">
        <v>1361</v>
      </c>
      <c r="B55" s="3587"/>
      <c r="C55" s="3587"/>
      <c r="D55" s="2321" t="e">
        <f ca="1">IF(H55="个人住宅",0,ROUND(D45*I55,0))</f>
        <v>#REF!</v>
      </c>
      <c r="E55" s="2331" t="s">
        <v>1362</v>
      </c>
      <c r="F55" s="2551" t="str">
        <f>IF(H55="正常",I55,"免征")</f>
        <v>免征</v>
      </c>
      <c r="G55" s="2552"/>
      <c r="H55" s="2547"/>
      <c r="I55" s="165">
        <f>'数据-取费表'!B49</f>
        <v>5.0000000000000001E-4</v>
      </c>
      <c r="J55" s="2520">
        <f>IF(H59="非个人房产","",4)</f>
        <v>4</v>
      </c>
      <c r="K55" s="3636" t="str">
        <f>IF(H59="非个人房产","——","个人所得税")</f>
        <v>个人所得税</v>
      </c>
      <c r="L55" s="3636"/>
      <c r="M55" s="2525" t="e">
        <f ca="1">D59</f>
        <v>#REF!</v>
      </c>
      <c r="N55" s="2037" t="str">
        <f>E59</f>
        <v>差额计税</v>
      </c>
      <c r="O55" s="2526">
        <f>F59</f>
        <v>0.01</v>
      </c>
    </row>
    <row r="56" spans="1:35" ht="24.75">
      <c r="A56" s="3586" t="s">
        <v>1363</v>
      </c>
      <c r="B56" s="3587"/>
      <c r="C56" s="3587"/>
      <c r="D56" s="2321" t="e">
        <f ca="1">IF(H56="个人住宅",D57,D58)</f>
        <v>#REF!</v>
      </c>
      <c r="E56" s="2331" t="s">
        <v>1364</v>
      </c>
      <c r="F56" s="2551" t="str">
        <f>IF(H56="正常",F58,"免征")</f>
        <v>免征</v>
      </c>
      <c r="G56" s="2554" t="s">
        <v>1365</v>
      </c>
      <c r="H56" s="2555"/>
      <c r="I56" s="1807"/>
      <c r="J56" s="2520" t="str">
        <f>IF(项目基本情况!K6="上海银行",IF(J55="",4,J55+1),"")</f>
        <v/>
      </c>
      <c r="K56" s="3659" t="str">
        <f>IF(项目基本情况!K6="上海银行","其他处置费用","")</f>
        <v/>
      </c>
      <c r="L56" s="3660"/>
      <c r="M56" s="2522" t="str">
        <f>IF(项目基本情况!K6="上海银行",M69,"")</f>
        <v/>
      </c>
      <c r="N56" s="3659" t="str">
        <f>IF(项目基本情况!K6="上海银行","包含处置中涉及的律师、诉讼、拍卖、评估等费用","")</f>
        <v/>
      </c>
      <c r="O56" s="3662"/>
    </row>
    <row r="57" spans="1:35" ht="12.75">
      <c r="A57" s="2332" t="s">
        <v>1341</v>
      </c>
      <c r="B57" s="3597" t="s">
        <v>1366</v>
      </c>
      <c r="C57" s="3598"/>
      <c r="D57" s="1589">
        <v>0</v>
      </c>
      <c r="E57" s="324" t="s">
        <v>1343</v>
      </c>
      <c r="F57" s="302"/>
      <c r="G57" s="2552"/>
      <c r="H57" s="2556"/>
      <c r="I57" s="1807"/>
      <c r="J57" s="3636">
        <f>IF(AND(J55="",J56=""),4,IF(项目基本情况!K6="上海银行",结果表!J56+1,结果表!J55+1))</f>
        <v>5</v>
      </c>
      <c r="K57" s="3636" t="s">
        <v>1367</v>
      </c>
      <c r="L57" s="2527" t="s">
        <v>1368</v>
      </c>
      <c r="M57" s="2528"/>
      <c r="N57" s="2529">
        <f ca="1">SUMIF(M52:M56,"&lt;9e307")</f>
        <v>0</v>
      </c>
      <c r="O57" s="2530"/>
      <c r="P57" s="2687" t="e">
        <f ca="1">N57/M49</f>
        <v>#VALUE!</v>
      </c>
    </row>
    <row r="58" spans="1:35" ht="24.75">
      <c r="A58" s="2332" t="s">
        <v>1352</v>
      </c>
      <c r="B58" s="3597" t="s">
        <v>1369</v>
      </c>
      <c r="C58" s="3571"/>
      <c r="D58" s="2321" t="e">
        <f ca="1">IF(H58="转让取得",C81,C97)</f>
        <v>#REF!</v>
      </c>
      <c r="E58" s="2331" t="s">
        <v>1364</v>
      </c>
      <c r="F58" s="302" t="s">
        <v>28</v>
      </c>
      <c r="G58" s="2552"/>
      <c r="H58" s="2555"/>
      <c r="I58" s="1807"/>
      <c r="J58" s="3636"/>
      <c r="K58" s="3636"/>
      <c r="L58" s="2527" t="s">
        <v>1370</v>
      </c>
      <c r="M58" s="2531"/>
      <c r="N58" s="2532" t="str">
        <f ca="1">NUMBERSTRING(INT(N57*10000),2)&amp;"元整"</f>
        <v>零元整</v>
      </c>
      <c r="O58" s="2533"/>
    </row>
    <row r="59" spans="1:35" ht="24.75" thickBot="1">
      <c r="A59" s="3639" t="s">
        <v>1371</v>
      </c>
      <c r="B59" s="3640"/>
      <c r="C59" s="364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37">
        <f>J57+1</f>
        <v>6</v>
      </c>
      <c r="K59" s="3636" t="s">
        <v>1372</v>
      </c>
      <c r="L59" s="2520" t="s">
        <v>1368</v>
      </c>
      <c r="M59" s="2534"/>
      <c r="N59" s="2535" t="e">
        <f ca="1">M49-N57</f>
        <v>#VALUE!</v>
      </c>
      <c r="O59" s="2536"/>
    </row>
    <row r="60" spans="1:35" ht="12" customHeight="1">
      <c r="A60" s="1808"/>
      <c r="B60" s="1746"/>
      <c r="C60" s="1746"/>
      <c r="D60" s="1746"/>
      <c r="E60" s="1577"/>
      <c r="F60" s="1807"/>
      <c r="G60" s="1807"/>
      <c r="H60" s="1809"/>
      <c r="I60" s="129"/>
      <c r="J60" s="3638"/>
      <c r="K60" s="3636"/>
      <c r="L60" s="2527" t="s">
        <v>1370</v>
      </c>
      <c r="M60" s="2531"/>
      <c r="N60" s="2532" t="e">
        <f ca="1">NUMBERSTRING(INT(N59*10000),2)&amp;"元整"</f>
        <v>#VALUE!</v>
      </c>
      <c r="O60" s="2533"/>
    </row>
    <row r="61" spans="1:35" ht="13.5" thickBot="1">
      <c r="A61" s="3584" t="s">
        <v>1373</v>
      </c>
      <c r="B61" s="3584"/>
      <c r="C61" s="3584"/>
      <c r="D61" s="3584"/>
      <c r="E61" s="3584"/>
      <c r="F61" s="1807"/>
      <c r="G61" s="1807"/>
      <c r="H61" s="1809"/>
      <c r="I61" s="129"/>
      <c r="J61" s="2520">
        <f>J59+1</f>
        <v>7</v>
      </c>
      <c r="K61" s="3636" t="s">
        <v>1374</v>
      </c>
      <c r="L61" s="3636"/>
      <c r="M61" s="2537"/>
      <c r="N61" s="2538" t="e">
        <f ca="1">ROUND(N59*10000/'数据-汇总表'!E3,0)</f>
        <v>#VALUE!</v>
      </c>
      <c r="O61" s="2539"/>
    </row>
    <row r="62" spans="1:35" ht="12.75">
      <c r="A62" s="3602" t="s">
        <v>1375</v>
      </c>
      <c r="B62" s="3603"/>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661"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61"/>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61"/>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61"/>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61"/>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597" t="s">
        <v>1402</v>
      </c>
      <c r="F76" s="3571"/>
      <c r="G76" s="3571"/>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81" t="s">
        <v>1406</v>
      </c>
      <c r="F78" s="3582"/>
      <c r="G78" s="3582"/>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663" t="s">
        <v>2129</v>
      </c>
      <c r="H90" s="3664"/>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81" t="s">
        <v>1422</v>
      </c>
      <c r="F92" s="3582"/>
      <c r="G92" s="3582"/>
      <c r="H92" s="3591"/>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81" t="s">
        <v>1406</v>
      </c>
      <c r="F93" s="3582"/>
      <c r="G93" s="3582"/>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92" t="s">
        <v>1426</v>
      </c>
      <c r="F94" s="3593"/>
      <c r="G94" s="3593"/>
      <c r="H94" s="35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2" t="str">
        <f>C4</f>
        <v>比较法-住宅</v>
      </c>
      <c r="D101" s="2583" t="str">
        <f>D4</f>
        <v>收益法 (元)</v>
      </c>
      <c r="E101" s="3658" t="s">
        <v>1431</v>
      </c>
      <c r="F101" s="3615"/>
      <c r="G101" s="1826" t="s">
        <v>1432</v>
      </c>
      <c r="H101" s="2592" t="e">
        <f ca="1">H118</f>
        <v>#REF!</v>
      </c>
      <c r="I101" s="129"/>
    </row>
    <row r="102" spans="1:35" ht="18.75" customHeight="1">
      <c r="A102" s="3617" t="s">
        <v>1433</v>
      </c>
      <c r="B102" s="2581" t="s">
        <v>1432</v>
      </c>
      <c r="C102" s="2582">
        <f ca="1">IF(D32="楼面单价",ROUND(C19,0),C19)</f>
        <v>694.84580000000005</v>
      </c>
      <c r="D102" s="2583">
        <f ca="1">IF(D32="楼面单价",ROUND(D19,0),D19)</f>
        <v>356.37020000000001</v>
      </c>
      <c r="E102" s="3658"/>
      <c r="F102" s="3615"/>
      <c r="G102" s="1826" t="s">
        <v>1434</v>
      </c>
      <c r="H102" s="2552" t="e">
        <f ca="1">I118</f>
        <v>#REF!</v>
      </c>
      <c r="I102" s="129"/>
    </row>
    <row r="103" spans="1:35" ht="42.75" customHeight="1">
      <c r="A103" s="3617"/>
      <c r="B103" s="2581" t="s">
        <v>1434</v>
      </c>
      <c r="C103" s="2584">
        <f ca="1">C20</f>
        <v>122332</v>
      </c>
      <c r="D103" s="2585">
        <f ca="1">D20</f>
        <v>62741</v>
      </c>
      <c r="E103" s="3652" t="s">
        <v>1435</v>
      </c>
      <c r="F103" s="3653"/>
      <c r="G103" s="1827" t="s">
        <v>1436</v>
      </c>
      <c r="H103" s="2592">
        <f>IF(D36="正常操作",H104+H105+H106,H105+H106)</f>
        <v>0</v>
      </c>
      <c r="I103" s="129"/>
    </row>
    <row r="104" spans="1:35" ht="18.75" customHeight="1">
      <c r="A104" s="3617"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18"/>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14" t="str">
        <f>IF(项目基本情况!E8="已注销","——","3.房地产抵押价值")</f>
        <v>3.房地产抵押价值</v>
      </c>
      <c r="F107" s="3615"/>
      <c r="G107" s="1826" t="s">
        <v>1432</v>
      </c>
      <c r="H107" s="2592" t="e">
        <f ca="1">IF(E107="——","——",H101-H103)</f>
        <v>#REF!</v>
      </c>
      <c r="I107" s="129"/>
    </row>
    <row r="108" spans="1:35" ht="18.75" customHeight="1">
      <c r="A108" s="129"/>
      <c r="B108" s="129"/>
      <c r="C108" s="129"/>
      <c r="D108" s="129"/>
      <c r="E108" s="3614"/>
      <c r="F108" s="3615"/>
      <c r="G108" s="1826" t="s">
        <v>1434</v>
      </c>
      <c r="H108" s="2552" t="e">
        <f ca="1">IF(H107=H101,H102,ROUND(H107*10000/'数据-汇总表'!E3,0))</f>
        <v>#REF!</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6" t="s">
        <v>1432</v>
      </c>
      <c r="H109" s="2595" t="str">
        <f>IF(E109="——","——",H101-H105-H106)</f>
        <v>——</v>
      </c>
      <c r="I109" s="129"/>
    </row>
    <row r="110" spans="1:35" ht="18.75" customHeight="1">
      <c r="A110" s="129"/>
      <c r="B110" s="129"/>
      <c r="C110" s="129"/>
      <c r="D110" s="129"/>
      <c r="E110" s="3614"/>
      <c r="F110" s="3615"/>
      <c r="G110" s="1826" t="s">
        <v>1434</v>
      </c>
      <c r="H110" s="2552"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6" t="s">
        <v>1432</v>
      </c>
      <c r="H111" s="2592" t="str">
        <f>IF(E111="——","——",N59)</f>
        <v>——</v>
      </c>
      <c r="I111" s="129"/>
    </row>
    <row r="112" spans="1:35" ht="18.75" customHeight="1" thickBot="1">
      <c r="A112" s="129"/>
      <c r="B112" s="129"/>
      <c r="C112" s="129"/>
      <c r="D112" s="129"/>
      <c r="E112" s="3647"/>
      <c r="F112" s="3648"/>
      <c r="G112" s="1829" t="s">
        <v>1434</v>
      </c>
      <c r="H112" s="2596" t="str">
        <f>IF(E111="——","——",N61)</f>
        <v>——</v>
      </c>
      <c r="I112" s="129"/>
    </row>
    <row r="113" spans="1:27" ht="18.75" customHeight="1">
      <c r="A113" s="129"/>
      <c r="B113" s="129"/>
      <c r="C113" s="129"/>
      <c r="D113" s="129"/>
      <c r="E113" s="3619" t="s">
        <v>1440</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56.8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5" t="s">
        <v>1452</v>
      </c>
      <c r="B119" s="3585"/>
      <c r="C119" s="3585"/>
      <c r="D119" s="3625" t="e">
        <f ca="1">NUMBERSTRING(INT(D118*10000),2)&amp;"元整"</f>
        <v>#REF!</v>
      </c>
      <c r="E119" s="3627"/>
      <c r="F119" s="3625" t="e">
        <f ca="1">NUMBERSTRING(INT(F118*10000),2)&amp;"元整"</f>
        <v>#REF!</v>
      </c>
      <c r="G119" s="3627"/>
      <c r="H119" s="3625" t="e">
        <f ca="1">NUMBERSTRING(INT(H118*10000),2)&amp;"元整"</f>
        <v>#REF!</v>
      </c>
      <c r="I119" s="3627"/>
    </row>
    <row r="120" spans="1:27" ht="18.75" customHeight="1">
      <c r="A120" s="3649" t="str">
        <f>IF(项目基本情况!B9="房地产市场价值","",MID(E103,3,LEN(E103)-2))</f>
        <v/>
      </c>
      <c r="B120" s="3650"/>
      <c r="C120" s="3651"/>
      <c r="D120" s="3649">
        <f>H103</f>
        <v>0</v>
      </c>
      <c r="E120" s="3650"/>
      <c r="F120" s="3650"/>
      <c r="G120" s="3650"/>
      <c r="H120" s="3650"/>
      <c r="I120" s="365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
      </c>
      <c r="B122" s="3616"/>
      <c r="C122" s="3616"/>
      <c r="D122" s="3649" t="e">
        <f ca="1">H107</f>
        <v>#REF!</v>
      </c>
      <c r="E122" s="3650"/>
      <c r="F122" s="3650"/>
      <c r="G122" s="3650"/>
      <c r="H122" s="3650"/>
      <c r="I122" s="3651"/>
      <c r="AA122" s="725"/>
    </row>
    <row r="123" spans="1:27" ht="18.75" customHeight="1">
      <c r="A123" s="3585" t="s">
        <v>1452</v>
      </c>
      <c r="B123" s="3585"/>
      <c r="C123" s="3585"/>
      <c r="D123" s="3625" t="e">
        <f ca="1">NUMBERSTRING(INT(D122*10000),2)&amp;"元整"</f>
        <v>#REF!</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56.8</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5.0000000000000001E-4</v>
      </c>
      <c r="D44" s="238"/>
      <c r="E44" s="238"/>
      <c r="F44" s="239"/>
      <c r="G44" s="3667"/>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18.634799999999998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9088</v>
      </c>
      <c r="D8" s="222"/>
      <c r="E8" s="220"/>
      <c r="F8" s="221"/>
      <c r="G8" s="1855"/>
    </row>
    <row r="9" spans="1:8" s="214" customFormat="1" ht="13.5" customHeight="1">
      <c r="A9" s="779" t="s">
        <v>355</v>
      </c>
      <c r="B9" s="224" t="s">
        <v>1478</v>
      </c>
      <c r="C9" s="225">
        <f ca="1">ROUND(D9*E9,0)</f>
        <v>9088</v>
      </c>
      <c r="D9" s="845">
        <f ca="1">IF(B1="",'数据-汇总表'!E5,IF(INDIRECT("'数据-取费表'!c"&amp;$G$1)="住宅",INDIRECT("'数据-取费表'!k"&amp;$G$1),0))</f>
        <v>56.8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11360</v>
      </c>
      <c r="D19" s="849">
        <f ca="1">D9+D10</f>
        <v>56.8</v>
      </c>
      <c r="E19" s="211">
        <f>'数据-取费表'!B31</f>
        <v>200</v>
      </c>
      <c r="F19" s="231"/>
      <c r="G19" s="1855"/>
    </row>
    <row r="20" spans="1:7" s="214" customFormat="1" ht="13.5" customHeight="1">
      <c r="A20" s="255" t="s">
        <v>1574</v>
      </c>
      <c r="B20" s="210" t="s">
        <v>1575</v>
      </c>
      <c r="C20" s="232">
        <f ca="1">ROUND((C5+C19)*F20,0)</f>
        <v>409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v>
      </c>
      <c r="D22" s="235">
        <f ca="1">C26</f>
        <v>5.0000000000000001E-4</v>
      </c>
      <c r="E22" s="236" t="s">
        <v>1579</v>
      </c>
      <c r="F22" s="237">
        <f ca="1">'数据-取费表'!B40</f>
        <v>4.7500000000000001E-2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540</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5214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5214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159040</v>
      </c>
      <c r="D34" s="217"/>
      <c r="E34" s="220"/>
      <c r="F34" s="257"/>
      <c r="G34" s="219"/>
    </row>
    <row r="35" spans="1:7" ht="13.5" customHeight="1">
      <c r="A35" s="780" t="s">
        <v>351</v>
      </c>
      <c r="B35" s="215" t="s">
        <v>1527</v>
      </c>
      <c r="C35" s="220">
        <f ca="1">ROUND(C34*F35,0)</f>
        <v>4771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7952</v>
      </c>
      <c r="D36" s="220"/>
      <c r="E36" s="220"/>
      <c r="F36" s="259">
        <f>'数据-取费表'!B34</f>
        <v>0.05</v>
      </c>
      <c r="G36" s="260" t="s">
        <v>1530</v>
      </c>
    </row>
    <row r="37" spans="1:7" s="258" customFormat="1" ht="13.5" customHeight="1">
      <c r="A37" s="780" t="s">
        <v>353</v>
      </c>
      <c r="B37" s="215" t="s">
        <v>1531</v>
      </c>
      <c r="C37" s="249">
        <f ca="1">ROUND(E37*D37,0)</f>
        <v>11360</v>
      </c>
      <c r="D37" s="217">
        <f ca="1">D19</f>
        <v>56.8</v>
      </c>
      <c r="E37" s="249">
        <f>'数据-取费表'!B35</f>
        <v>200</v>
      </c>
      <c r="F37" s="259"/>
      <c r="G37" s="261"/>
    </row>
    <row r="38" spans="1:7" ht="13.5" customHeight="1">
      <c r="A38" s="780" t="s">
        <v>354</v>
      </c>
      <c r="B38" s="215" t="s">
        <v>1533</v>
      </c>
      <c r="C38" s="220">
        <f ca="1">ROUND(C34*F38,0)</f>
        <v>2386</v>
      </c>
      <c r="D38" s="220"/>
      <c r="E38" s="220"/>
      <c r="F38" s="259">
        <f>'数据-取费表'!B36</f>
        <v>1.4999999999999999E-2</v>
      </c>
      <c r="G38" s="219" t="s">
        <v>1528</v>
      </c>
    </row>
    <row r="39" spans="1:7" s="214" customFormat="1" ht="13.5" customHeight="1">
      <c r="A39" s="255" t="s">
        <v>1534</v>
      </c>
      <c r="B39" s="210" t="s">
        <v>1535</v>
      </c>
      <c r="C39" s="232">
        <f ca="1">ROUND(C33*F20,0)</f>
        <v>3710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4494</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4406</v>
      </c>
      <c r="D42" s="238"/>
      <c r="E42" s="238"/>
      <c r="F42" s="239"/>
      <c r="G42" s="3665" t="s">
        <v>1591</v>
      </c>
    </row>
    <row r="43" spans="1:7" ht="13.5" customHeight="1">
      <c r="A43" s="780" t="s">
        <v>347</v>
      </c>
      <c r="B43" s="215" t="s">
        <v>1545</v>
      </c>
      <c r="C43" s="238">
        <f ca="1">ROUND(IF('数据-取费表'!B22&lt;=1,C39*F22*'数据-取费表'!B20/2,C39*(POWER((1+F22),'数据-取费表'!B20/2)-1)),0)</f>
        <v>88</v>
      </c>
      <c r="D43" s="238"/>
      <c r="E43" s="238"/>
      <c r="F43" s="239"/>
      <c r="G43" s="3666"/>
    </row>
    <row r="44" spans="1:7" ht="13.5" customHeight="1">
      <c r="A44" s="780" t="s">
        <v>348</v>
      </c>
      <c r="B44" s="215" t="s">
        <v>1546</v>
      </c>
      <c r="C44" s="238">
        <f ca="1">ROUND(IF('数据-取费表'!B22&lt;=1,C40*F22*'数据-取费表'!B20/2,C40*(POWER((1+F22),'数据-取费表'!B20/2)-1)),4)</f>
        <v>5.0000000000000001E-4</v>
      </c>
      <c r="D44" s="238"/>
      <c r="E44" s="238"/>
      <c r="F44" s="239"/>
      <c r="G44" s="3667"/>
    </row>
    <row r="45" spans="1:7" s="214" customFormat="1" ht="13.5" customHeight="1">
      <c r="A45" s="255" t="s">
        <v>1547</v>
      </c>
      <c r="B45" s="244" t="s">
        <v>1513</v>
      </c>
      <c r="C45" s="245">
        <f ca="1">C46</f>
        <v>47305</v>
      </c>
      <c r="D45" s="235">
        <f ca="1">C47</f>
        <v>5.0000000000000001E-3</v>
      </c>
      <c r="E45" s="236" t="s">
        <v>1539</v>
      </c>
      <c r="F45" s="246">
        <f ca="1">F27</f>
        <v>0.25</v>
      </c>
      <c r="G45" s="247" t="s">
        <v>1548</v>
      </c>
    </row>
    <row r="46" spans="1:7" s="214" customFormat="1" ht="13.5" customHeight="1">
      <c r="A46" s="780" t="s">
        <v>346</v>
      </c>
      <c r="B46" s="248" t="s">
        <v>1549</v>
      </c>
      <c r="C46" s="249">
        <f ca="1">ROUND((C33+C39)*F27,0)</f>
        <v>47305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261635</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156981</v>
      </c>
      <c r="D51" s="232"/>
      <c r="E51" s="232"/>
      <c r="F51" s="264"/>
      <c r="G51" s="234" t="s">
        <v>1560</v>
      </c>
    </row>
    <row r="52" spans="1:7" s="208" customFormat="1" ht="16.5" thickBot="1">
      <c r="A52" s="265" t="s">
        <v>1561</v>
      </c>
      <c r="B52" s="266"/>
      <c r="C52" s="267">
        <f ca="1">C31+C51</f>
        <v>186348</v>
      </c>
      <c r="D52" s="266"/>
      <c r="E52" s="266"/>
      <c r="F52" s="266"/>
      <c r="G52" s="268"/>
    </row>
    <row r="55" spans="1:7" ht="15">
      <c r="B55" s="270" t="s">
        <v>1562</v>
      </c>
      <c r="C55" s="271"/>
    </row>
    <row r="56" spans="1:7">
      <c r="B56" s="273" t="s">
        <v>802</v>
      </c>
      <c r="C56" s="275">
        <f ca="1">1-C57</f>
        <v>0.15800000000000003</v>
      </c>
    </row>
    <row r="57" spans="1:7">
      <c r="B57" s="273" t="s">
        <v>803</v>
      </c>
      <c r="C57" s="274">
        <f ca="1">ROUND(C51/C52,3)</f>
        <v>0.84199999999999997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56.8</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0" t="s">
        <v>694</v>
      </c>
      <c r="C6" s="1074">
        <f ca="1">ROUND(F6*F8*F7*(1-F9)/10000,0)</f>
        <v>0</v>
      </c>
      <c r="D6" s="155" t="s">
        <v>2109</v>
      </c>
      <c r="E6" s="302" t="s">
        <v>696</v>
      </c>
      <c r="F6" s="303">
        <f ca="1">INDIRECT("'数据-取费表'!u"&amp;$G$1)</f>
        <v>0</v>
      </c>
      <c r="G6" s="1383"/>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3"/>
      <c r="H7" s="304"/>
      <c r="I7" s="3671"/>
      <c r="J7" s="306"/>
      <c r="K7" s="307"/>
      <c r="L7" s="302" t="s">
        <v>697</v>
      </c>
      <c r="M7" s="303">
        <f ca="1">F7</f>
        <v>0</v>
      </c>
    </row>
    <row r="8" spans="1:37" ht="18" customHeight="1">
      <c r="A8" s="304"/>
      <c r="B8" s="3671"/>
      <c r="C8" s="306"/>
      <c r="D8" s="307"/>
      <c r="E8" s="302" t="s">
        <v>698</v>
      </c>
      <c r="F8" s="303">
        <f ca="1">INDIRECT("'数据-取费表'!ai"&amp;$G$1)</f>
        <v>0</v>
      </c>
      <c r="G8" s="1383"/>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8" t="s">
        <v>837</v>
      </c>
      <c r="L53" s="3669"/>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8" zoomScale="90" zoomScaleNormal="70" zoomScaleSheetLayoutView="9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40</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356.37020000000001</v>
      </c>
      <c r="C2" s="1386" t="s">
        <v>879</v>
      </c>
      <c r="D2" s="1470">
        <f ca="1">C40+J29+L46</f>
        <v>3563702</v>
      </c>
      <c r="E2" s="1387" t="s">
        <v>880</v>
      </c>
      <c r="F2" s="1388"/>
      <c r="G2" s="2703"/>
      <c r="H2" s="2692"/>
      <c r="I2" s="2692"/>
      <c r="J2" s="2692"/>
      <c r="K2" s="2693"/>
      <c r="L2" s="2692"/>
      <c r="M2" s="2692"/>
    </row>
    <row r="3" spans="1:37" ht="18" customHeight="1" thickBot="1">
      <c r="A3" s="1389" t="s">
        <v>881</v>
      </c>
      <c r="B3" s="1390">
        <f ca="1">IF(ISERROR(D2/F43),0,ROUND(D2/F43,0))</f>
        <v>62741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77617</v>
      </c>
      <c r="D5" s="1363" t="s">
        <v>889</v>
      </c>
      <c r="E5" s="1071"/>
      <c r="F5" s="1072"/>
      <c r="G5" s="1383"/>
      <c r="H5" s="299">
        <v>1</v>
      </c>
      <c r="I5" s="300" t="s">
        <v>888</v>
      </c>
      <c r="J5" s="1070">
        <f ca="1">J6+J10+J12</f>
        <v>0</v>
      </c>
      <c r="K5" s="1363" t="s">
        <v>889</v>
      </c>
      <c r="L5" s="1071"/>
      <c r="M5" s="1072"/>
    </row>
    <row r="6" spans="1:37" ht="18" customHeight="1">
      <c r="A6" s="1069" t="s">
        <v>398</v>
      </c>
      <c r="B6" s="3670" t="s">
        <v>694</v>
      </c>
      <c r="C6" s="1074">
        <f ca="1">ROUND(F6*F8*F7*(1-F9),0)</f>
        <v>77520</v>
      </c>
      <c r="D6" s="155" t="s">
        <v>2106</v>
      </c>
      <c r="E6" s="302" t="s">
        <v>696</v>
      </c>
      <c r="F6" s="303">
        <f ca="1">INDIRECT("'数据-取费表'!u"&amp;$G$1)</f>
        <v>6800</v>
      </c>
      <c r="G6" s="1383"/>
      <c r="H6" s="1069" t="s">
        <v>398</v>
      </c>
      <c r="I6" s="3670" t="s">
        <v>694</v>
      </c>
      <c r="J6" s="301">
        <f ca="1">ROUND(M6*M8*M7*(1-M9),0)</f>
        <v>0</v>
      </c>
      <c r="K6" s="137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v>
      </c>
      <c r="G7" s="1383"/>
      <c r="H7" s="304"/>
      <c r="I7" s="3671"/>
      <c r="J7" s="306"/>
      <c r="K7" s="307"/>
      <c r="L7" s="302" t="s">
        <v>697</v>
      </c>
      <c r="M7" s="303">
        <f ca="1">F7</f>
        <v>1</v>
      </c>
    </row>
    <row r="8" spans="1:37" ht="18" customHeight="1">
      <c r="A8" s="304"/>
      <c r="B8" s="3671"/>
      <c r="C8" s="306"/>
      <c r="D8" s="307"/>
      <c r="E8" s="302" t="s">
        <v>698</v>
      </c>
      <c r="F8" s="303">
        <f ca="1">INDIRECT("'数据-取费表'!ai"&amp;$G$1)</f>
        <v>12</v>
      </c>
      <c r="G8" s="1383"/>
      <c r="H8" s="304"/>
      <c r="I8" s="3671"/>
      <c r="J8" s="306"/>
      <c r="K8" s="307"/>
      <c r="L8" s="302" t="s">
        <v>698</v>
      </c>
      <c r="M8" s="303">
        <f ca="1">INDIRECT("'数据-取费表'!ai"&amp;$G$1)</f>
        <v>12</v>
      </c>
    </row>
    <row r="9" spans="1:37" ht="18" customHeight="1">
      <c r="A9" s="304"/>
      <c r="B9" s="3672"/>
      <c r="C9" s="306"/>
      <c r="D9" s="307"/>
      <c r="E9" s="302" t="s">
        <v>699</v>
      </c>
      <c r="F9" s="312">
        <f ca="1">INDIRECT("'数据-取费表'!w"&amp;$G$1)</f>
        <v>0.05</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97</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156981</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159040</v>
      </c>
      <c r="D14" s="1344" t="s">
        <v>708</v>
      </c>
      <c r="E14" s="1341"/>
      <c r="F14" s="319"/>
      <c r="G14" s="1383"/>
      <c r="H14" s="982" t="s">
        <v>398</v>
      </c>
      <c r="I14" s="302" t="s">
        <v>709</v>
      </c>
      <c r="J14" s="21">
        <f ca="1">C29</f>
        <v>261635</v>
      </c>
      <c r="K14" s="12"/>
      <c r="L14" s="807"/>
      <c r="M14" s="808"/>
    </row>
    <row r="15" spans="1:37" s="1396" customFormat="1" ht="18" customHeight="1" thickBot="1">
      <c r="A15" s="982" t="s">
        <v>399</v>
      </c>
      <c r="B15" s="302" t="s">
        <v>710</v>
      </c>
      <c r="C15" s="21">
        <f ca="1">ROUND(C14*F15,0)</f>
        <v>4771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7952</v>
      </c>
      <c r="D16" s="302" t="s">
        <v>711</v>
      </c>
      <c r="E16" s="302" t="s">
        <v>712</v>
      </c>
      <c r="F16" s="322">
        <f ca="1">IF(INDIRECT("'数据-取费表'!c"&amp;$G$1)="住宅",'数据-取费表'!B34,0)</f>
        <v>0.05</v>
      </c>
      <c r="G16" s="1383"/>
      <c r="H16" s="1079" t="s">
        <v>393</v>
      </c>
      <c r="I16" s="1080" t="s">
        <v>714</v>
      </c>
      <c r="J16" s="310">
        <f ca="1">ROUND(J17+J22+J23+J24,0)</f>
        <v>1308</v>
      </c>
      <c r="K16" s="1087" t="s">
        <v>715</v>
      </c>
      <c r="L16" s="1088"/>
      <c r="M16" s="1072"/>
    </row>
    <row r="17" spans="1:37" s="1396" customFormat="1" ht="18" customHeight="1">
      <c r="A17" s="982" t="s">
        <v>681</v>
      </c>
      <c r="B17" s="302" t="s">
        <v>716</v>
      </c>
      <c r="C17" s="21">
        <f ca="1">ROUND(F17*(F43+INDIRECT("'数据-取费表'!S"&amp;$G$1)),0)</f>
        <v>11360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2386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185509</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3710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4494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-1308</v>
      </c>
      <c r="K25" s="1095" t="s">
        <v>753</v>
      </c>
      <c r="L25" s="1096"/>
      <c r="M25" s="1097"/>
    </row>
    <row r="26" spans="1:37" ht="18" customHeight="1">
      <c r="A26" s="982" t="s">
        <v>397</v>
      </c>
      <c r="B26" s="302" t="s">
        <v>754</v>
      </c>
      <c r="C26" s="21">
        <f ca="1">ROUND((C19+C20)*F26,0)</f>
        <v>47305</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261635</v>
      </c>
      <c r="D29" s="1092"/>
      <c r="E29" s="1090"/>
      <c r="F29" s="1093"/>
      <c r="G29" s="1395"/>
      <c r="H29" s="334" t="s">
        <v>396</v>
      </c>
      <c r="I29" s="335" t="s">
        <v>768</v>
      </c>
      <c r="J29" s="336">
        <f ca="1">ROUND(J26/(1+F40)^F41,0)</f>
        <v>0</v>
      </c>
      <c r="K29" s="337" t="s">
        <v>769</v>
      </c>
      <c r="L29" s="338"/>
      <c r="M29" s="339">
        <f ca="1">INDIRECT("'数据-取费表'!k"&amp;$G$1)</f>
        <v>56.8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3620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1846</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1308</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78</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388</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73997</v>
      </c>
      <c r="D39" s="1095" t="s">
        <v>773</v>
      </c>
      <c r="E39" s="1096"/>
      <c r="F39" s="1097"/>
      <c r="G39" s="1383"/>
      <c r="H39" s="2697"/>
      <c r="I39" s="1397"/>
      <c r="J39" s="1398"/>
      <c r="K39" s="2701"/>
      <c r="L39" s="2697"/>
      <c r="M39" s="2697"/>
    </row>
    <row r="40" spans="1:18" ht="18" customHeight="1">
      <c r="A40" s="299" t="s">
        <v>395</v>
      </c>
      <c r="B40" s="300" t="s">
        <v>774</v>
      </c>
      <c r="C40" s="301">
        <f ca="1">ROUND(C39*(1-((1+F42)/(1+F40))^F41)/(F40-F42),0)</f>
        <v>3563702</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480">
        <v>68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62741</v>
      </c>
      <c r="D43" s="337" t="s">
        <v>777</v>
      </c>
      <c r="E43" s="338" t="s">
        <v>778</v>
      </c>
      <c r="F43" s="339">
        <f ca="1">INDIRECT("'数据-取费表'!k"&amp;$G$1)</f>
        <v>56.8</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-359.59449999999998</v>
      </c>
      <c r="D45" s="3429" t="s">
        <v>3360</v>
      </c>
      <c r="E45" s="1399"/>
      <c r="F45" s="1399"/>
      <c r="O45" s="1402" t="s">
        <v>808</v>
      </c>
      <c r="P45" s="1460"/>
      <c r="Q45" s="1460"/>
      <c r="R45" s="1460"/>
    </row>
    <row r="46" spans="1:18" s="1383" customFormat="1" ht="13.5" thickBot="1">
      <c r="A46" s="1403" t="s">
        <v>809</v>
      </c>
      <c r="C46" s="1404">
        <f ca="1">ROUND(C45,0)</f>
        <v>-360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3563702</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261635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1262645</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40</v>
      </c>
      <c r="K53" s="3668" t="s">
        <v>837</v>
      </c>
      <c r="L53" s="3669"/>
      <c r="O53" s="1417" t="s">
        <v>409</v>
      </c>
      <c r="P53" s="1418" t="s">
        <v>838</v>
      </c>
      <c r="Q53" s="1419">
        <f ca="1">Q47+Q48</f>
        <v>3563702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156981</v>
      </c>
      <c r="D56" s="1446"/>
      <c r="E56" s="1447"/>
      <c r="F56" s="1439"/>
      <c r="I56" s="1448" t="s">
        <v>842</v>
      </c>
      <c r="J56" s="1449"/>
      <c r="K56" s="1420" t="s">
        <v>843</v>
      </c>
      <c r="L56" s="1423" t="str">
        <f ca="1">IF(L48&lt;J51,"——",L48-J51)</f>
        <v>——</v>
      </c>
      <c r="O56" s="1417" t="s">
        <v>403</v>
      </c>
      <c r="P56" s="1418" t="s">
        <v>817</v>
      </c>
      <c r="Q56" s="1419">
        <f ca="1">C40+J29</f>
        <v>3563702</v>
      </c>
      <c r="R56" s="1419" t="s">
        <v>818</v>
      </c>
    </row>
    <row r="57" spans="1:18" s="1383" customFormat="1" ht="24.75" thickBot="1">
      <c r="A57" s="1450"/>
      <c r="B57" s="950" t="s">
        <v>767</v>
      </c>
      <c r="C57" s="238">
        <f ca="1">C29</f>
        <v>261635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1386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3563702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78</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3563702</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-1386</v>
      </c>
      <c r="D67" s="963" t="s">
        <v>753</v>
      </c>
      <c r="E67" s="968"/>
      <c r="F67" s="969"/>
      <c r="O67" s="1427" t="s">
        <v>405</v>
      </c>
      <c r="P67" s="1418" t="s">
        <v>850</v>
      </c>
      <c r="Q67" s="1465">
        <f ca="1">L51</f>
        <v>1262645</v>
      </c>
      <c r="R67" s="1419" t="s">
        <v>870</v>
      </c>
    </row>
    <row r="68" spans="1:18" s="1383" customFormat="1" ht="16.5" thickBot="1">
      <c r="A68" s="947" t="s">
        <v>395</v>
      </c>
      <c r="B68" s="948" t="s">
        <v>774</v>
      </c>
      <c r="C68" s="301">
        <f ca="1">ROUND(C67*(1-((1+F70)/(1+F68))^F69)/(F68-F70),0)</f>
        <v>-32243</v>
      </c>
      <c r="D68" s="965" t="s">
        <v>758</v>
      </c>
      <c r="E68" s="950" t="s">
        <v>759</v>
      </c>
      <c r="F68" s="312">
        <f ca="1">F40</f>
        <v>0.04</v>
      </c>
      <c r="O68" s="1427" t="s">
        <v>406</v>
      </c>
      <c r="P68" s="1466" t="s">
        <v>871</v>
      </c>
      <c r="Q68" s="1419">
        <f ca="1">ROUND(Q69-Q70*Q71,0)</f>
        <v>63793</v>
      </c>
      <c r="R68" s="1419" t="s">
        <v>414</v>
      </c>
    </row>
    <row r="69" spans="1:18" s="1383" customFormat="1" ht="13.5" thickBot="1">
      <c r="A69" s="951"/>
      <c r="B69" s="952"/>
      <c r="C69" s="306"/>
      <c r="D69" s="970" t="s">
        <v>762</v>
      </c>
      <c r="E69" s="950" t="s">
        <v>763</v>
      </c>
      <c r="F69" s="333">
        <f>F41</f>
        <v>68</v>
      </c>
      <c r="O69" s="1427" t="s">
        <v>411</v>
      </c>
      <c r="P69" s="1466" t="s">
        <v>872</v>
      </c>
      <c r="Q69" s="1419">
        <f ca="1">C39</f>
        <v>73997</v>
      </c>
      <c r="R69" s="1419" t="s">
        <v>818</v>
      </c>
    </row>
    <row r="70" spans="1:18" s="1383" customFormat="1" ht="13.5" thickBot="1">
      <c r="A70" s="954"/>
      <c r="B70" s="955"/>
      <c r="C70" s="310"/>
      <c r="D70" s="966"/>
      <c r="E70" s="950" t="s">
        <v>766</v>
      </c>
      <c r="F70" s="1054"/>
      <c r="O70" s="1427" t="s">
        <v>412</v>
      </c>
      <c r="P70" s="1466" t="s">
        <v>873</v>
      </c>
      <c r="Q70" s="1419">
        <f ca="1">C13</f>
        <v>156981</v>
      </c>
      <c r="R70" s="1419" t="s">
        <v>818</v>
      </c>
    </row>
    <row r="71" spans="1:18" s="1383" customFormat="1" ht="13.5" thickBot="1">
      <c r="A71" s="971" t="s">
        <v>396</v>
      </c>
      <c r="B71" s="972" t="s">
        <v>776</v>
      </c>
      <c r="C71" s="336">
        <f ca="1">ROUND(C68/F71,0)</f>
        <v>-568</v>
      </c>
      <c r="D71" s="973" t="s">
        <v>777</v>
      </c>
      <c r="E71" s="974" t="s">
        <v>778</v>
      </c>
      <c r="F71" s="339">
        <f ca="1">F43</f>
        <v>56.8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10204</v>
      </c>
      <c r="D75" s="1383"/>
      <c r="E75" s="1383"/>
      <c r="F75" s="1383"/>
      <c r="K75" s="1401"/>
      <c r="L75" s="1383"/>
      <c r="O75" s="1417" t="s">
        <v>409</v>
      </c>
      <c r="P75" s="1418" t="s">
        <v>838</v>
      </c>
      <c r="Q75" s="1419">
        <f ca="1">Q65+Q66</f>
        <v>3563702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0.95599999999999996</v>
      </c>
    </row>
    <row r="83" spans="2:3">
      <c r="B83" s="273" t="s">
        <v>803</v>
      </c>
      <c r="C83" s="274">
        <f ca="1">ROUND(C13/C40,3)</f>
        <v>4.3999999999999997E-2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19" workbookViewId="0">
      <selection activeCell="Q7" sqref="Q7"/>
    </sheetView>
  </sheetViews>
  <sheetFormatPr defaultColWidth="8.875" defaultRowHeight="14.25"/>
  <sheetData>
    <row r="3" spans="14:16">
      <c r="N3">
        <f>ROUND(6800/58,0)</f>
        <v>117</v>
      </c>
      <c r="P3">
        <f>ROUND((N3+N12+N20+N31)/4*'数据-汇总表'!E19,0)</f>
        <v>6674</v>
      </c>
    </row>
    <row r="12" spans="14:16">
      <c r="N12">
        <f>ROUND(5500/46.51,0)</f>
        <v>118</v>
      </c>
    </row>
    <row r="20" spans="14:14">
      <c r="N20">
        <f>ROUND(6500/58,0)</f>
        <v>112</v>
      </c>
    </row>
    <row r="31" spans="14:14">
      <c r="N31">
        <f>ROUND(7000/57,0)</f>
        <v>123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abSelected="1" view="pageBreakPreview" topLeftCell="B19" zoomScale="80" zoomScaleNormal="60" zoomScaleSheetLayoutView="80" workbookViewId="0">
      <selection activeCell="G86" sqref="G86"/>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694.84580000000005</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122332</v>
      </c>
      <c r="C3" s="354" t="s">
        <v>1665</v>
      </c>
      <c r="D3" s="353">
        <f>IF(D1="",'数据-汇总表'!E3,SUMIF('数据-汇总表'!$C19:$C33,D1,'数据-汇总表'!$E19:$E33))</f>
        <v>56.8</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1" t="s">
        <v>1667</v>
      </c>
      <c r="D4" s="3692"/>
      <c r="E4" s="3693" t="s">
        <v>1668</v>
      </c>
      <c r="F4" s="3694"/>
      <c r="G4" s="3691" t="s">
        <v>1669</v>
      </c>
      <c r="H4" s="3692"/>
      <c r="I4" s="3691" t="s">
        <v>1670</v>
      </c>
      <c r="J4" s="3692"/>
      <c r="K4" s="1888" t="s">
        <v>1671</v>
      </c>
      <c r="L4" s="2712"/>
      <c r="M4" s="2713"/>
      <c r="N4" s="2713"/>
      <c r="O4" s="2713"/>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8"/>
      <c r="B5" s="359"/>
      <c r="C5" s="3715" t="s">
        <v>3471</v>
      </c>
      <c r="D5" s="3711"/>
      <c r="E5" s="3719" t="str">
        <f>C5</f>
        <v>红莲南里</v>
      </c>
      <c r="F5" s="3720"/>
      <c r="G5" s="3710" t="str">
        <f>C5</f>
        <v>红莲南里</v>
      </c>
      <c r="H5" s="3711"/>
      <c r="I5" s="3710" t="str">
        <f>C5</f>
        <v>红莲南里</v>
      </c>
      <c r="J5" s="3711"/>
      <c r="K5" s="188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16"/>
      <c r="D6" s="3709"/>
      <c r="E6" s="3717"/>
      <c r="F6" s="3718"/>
      <c r="G6" s="3708"/>
      <c r="H6" s="3709"/>
      <c r="I6" s="3708"/>
      <c r="J6" s="3709"/>
      <c r="K6" s="188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f>成交案例!P4</f>
        <v>44964</v>
      </c>
      <c r="F7" s="367">
        <f>SUMIF(58:58,YEAR(E7)&amp;"-"&amp;MONTH(E7),59:59)</f>
        <v>99</v>
      </c>
      <c r="G7" s="366">
        <f>成交案例!P7</f>
        <v>44883</v>
      </c>
      <c r="H7" s="365">
        <f>SUMIF(58:58,YEAR(G7)&amp;"-"&amp;MONTH(G7),59:59)</f>
        <v>98</v>
      </c>
      <c r="I7" s="366">
        <f>成交案例!P6</f>
        <v>44918</v>
      </c>
      <c r="J7" s="365">
        <f>SUMIF(58:58,YEAR(I7)&amp;"-"&amp;MONTH(I7),59:59)</f>
        <v>98</v>
      </c>
      <c r="K7" s="1890"/>
      <c r="L7" s="2714"/>
      <c r="M7" s="2715"/>
      <c r="N7" s="2715"/>
      <c r="O7" s="2715"/>
      <c r="P7" s="3712" t="s">
        <v>1680</v>
      </c>
      <c r="Q7" s="3714"/>
      <c r="R7" s="701" t="s">
        <v>20</v>
      </c>
      <c r="S7" s="702">
        <f t="shared" ref="S7:S15" si="0">F7</f>
        <v>99</v>
      </c>
      <c r="T7" s="701" t="s">
        <v>20</v>
      </c>
      <c r="U7" s="702">
        <f t="shared" ref="U7:U15" si="1">H7</f>
        <v>98</v>
      </c>
      <c r="V7" s="701" t="s">
        <v>20</v>
      </c>
      <c r="W7" s="702">
        <f t="shared" ref="W7:W15" si="2">J7</f>
        <v>98</v>
      </c>
      <c r="X7" s="703"/>
      <c r="Y7" s="3712" t="s">
        <v>1680</v>
      </c>
      <c r="Z7" s="3713"/>
      <c r="AA7" s="704">
        <f>D7/F7</f>
        <v>1.0101010101010102</v>
      </c>
      <c r="AB7" s="704">
        <f>D7/H7</f>
        <v>1.0204081632653061</v>
      </c>
      <c r="AC7" s="704">
        <f>D7/J7</f>
        <v>1.0204081632653061</v>
      </c>
    </row>
    <row r="8" spans="1:29" s="108" customFormat="1" ht="15.75" thickBot="1">
      <c r="A8" s="362" t="s">
        <v>1681</v>
      </c>
      <c r="B8" s="363"/>
      <c r="C8" s="368" t="s">
        <v>3395</v>
      </c>
      <c r="D8" s="365">
        <v>100</v>
      </c>
      <c r="E8" s="1891" t="s">
        <v>3395</v>
      </c>
      <c r="F8" s="367">
        <f>SUMIF(61:61,E8,62:62)-SUMIF(61:61,C8,62:62)+100</f>
        <v>100</v>
      </c>
      <c r="G8" s="368" t="s">
        <v>3395</v>
      </c>
      <c r="H8" s="365">
        <f>SUMIF(61:61,G8,62:62)-SUMIF(61:61,C8,62:62)+100</f>
        <v>100</v>
      </c>
      <c r="I8" s="1891" t="s">
        <v>3395</v>
      </c>
      <c r="J8" s="365">
        <f>SUMIF(61:61,I8,62:62)-SUMIF(61:61,C8,62:62)+100</f>
        <v>100</v>
      </c>
      <c r="K8" s="1890"/>
      <c r="L8" s="2714"/>
      <c r="M8" s="2715"/>
      <c r="N8" s="2715"/>
      <c r="O8" s="2715"/>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464" t="s">
        <v>3430</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75" thickBot="1">
      <c r="A10" s="374"/>
      <c r="B10" s="375" t="s">
        <v>1688</v>
      </c>
      <c r="C10" s="3431" t="s">
        <v>3490</v>
      </c>
      <c r="D10" s="127">
        <v>100</v>
      </c>
      <c r="E10" s="3432" t="str">
        <f>C10</f>
        <v>20-30（含）</v>
      </c>
      <c r="F10" s="376">
        <f>SUMIF(65:65,E10,66:66)-SUMIF(65:65,C10,66:66)+100</f>
        <v>100</v>
      </c>
      <c r="G10" s="3431" t="str">
        <f>C10</f>
        <v>20-30（含）</v>
      </c>
      <c r="H10" s="127">
        <f>SUMIF(65:65,G10,66:66)-SUMIF(65:65,C10,66:66)+100</f>
        <v>100</v>
      </c>
      <c r="I10" s="3431" t="str">
        <f>C10</f>
        <v>20-30（含）</v>
      </c>
      <c r="J10" s="127">
        <f>SUMIF(65:65,I10,66:66)-SUMIF(65:65,C10,66:66)+100</f>
        <v>100</v>
      </c>
      <c r="K10" s="189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87"/>
      <c r="Q11" s="1342" t="str">
        <f t="shared" si="6"/>
        <v>容积率</v>
      </c>
      <c r="R11" s="701" t="s">
        <v>18</v>
      </c>
      <c r="S11" s="702">
        <f t="shared" si="0"/>
        <v>100</v>
      </c>
      <c r="T11" s="701" t="s">
        <v>18</v>
      </c>
      <c r="U11" s="702">
        <f t="shared" si="1"/>
        <v>100</v>
      </c>
      <c r="V11" s="701" t="s">
        <v>18</v>
      </c>
      <c r="W11" s="702">
        <f t="shared" si="2"/>
        <v>100</v>
      </c>
      <c r="X11" s="703"/>
      <c r="Y11" s="3572"/>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7"/>
      <c r="Q12" s="1342">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7"/>
      <c r="Q13" s="1342">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7"/>
      <c r="Q14" s="1342">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5" t="s">
        <v>1691</v>
      </c>
      <c r="Q15" s="1351" t="str">
        <f t="shared" si="6"/>
        <v>居住社区成熟度</v>
      </c>
      <c r="R15" s="705" t="s">
        <v>18</v>
      </c>
      <c r="S15" s="706">
        <f t="shared" si="0"/>
        <v>100</v>
      </c>
      <c r="T15" s="705" t="s">
        <v>18</v>
      </c>
      <c r="U15" s="706">
        <f t="shared" si="1"/>
        <v>100</v>
      </c>
      <c r="V15" s="705" t="s">
        <v>18</v>
      </c>
      <c r="W15" s="706">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t="s">
        <v>3412</v>
      </c>
      <c r="D16" s="399"/>
      <c r="E16" s="398" t="s">
        <v>3412</v>
      </c>
      <c r="F16" s="399"/>
      <c r="G16" s="398" t="s">
        <v>3412</v>
      </c>
      <c r="H16" s="401"/>
      <c r="I16" s="398" t="s">
        <v>3412</v>
      </c>
      <c r="J16" s="399"/>
      <c r="K16" s="1898"/>
      <c r="L16" s="2719"/>
      <c r="M16" s="2713"/>
      <c r="N16" s="2713"/>
      <c r="O16" s="2713"/>
      <c r="P16" s="3686"/>
      <c r="Q16" s="1351"/>
      <c r="R16" s="705"/>
      <c r="S16" s="706"/>
      <c r="T16" s="705"/>
      <c r="U16" s="706"/>
      <c r="V16" s="705"/>
      <c r="W16" s="706"/>
      <c r="X16" s="1354"/>
      <c r="Y16" s="367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6"/>
      <c r="Q17" s="1351" t="str">
        <f>B17</f>
        <v>交通便捷度</v>
      </c>
      <c r="R17" s="705" t="s">
        <v>18</v>
      </c>
      <c r="S17" s="706">
        <f>F17</f>
        <v>100</v>
      </c>
      <c r="T17" s="705" t="s">
        <v>18</v>
      </c>
      <c r="U17" s="706">
        <f>H17</f>
        <v>100</v>
      </c>
      <c r="V17" s="705" t="s">
        <v>18</v>
      </c>
      <c r="W17" s="706">
        <f>J17</f>
        <v>100</v>
      </c>
      <c r="X17" s="1354"/>
      <c r="Y17" s="3679"/>
      <c r="Z17" s="1355" t="str">
        <f>Q17</f>
        <v>交通便捷度</v>
      </c>
      <c r="AA17" s="1352">
        <f t="shared" si="3"/>
        <v>1</v>
      </c>
      <c r="AB17" s="1352">
        <f t="shared" si="4"/>
        <v>1</v>
      </c>
      <c r="AC17" s="1352">
        <f t="shared" si="5"/>
        <v>1</v>
      </c>
    </row>
    <row r="18" spans="1:29" ht="15">
      <c r="A18" s="379"/>
      <c r="B18" s="407"/>
      <c r="C18" s="398" t="s">
        <v>3412</v>
      </c>
      <c r="D18" s="401"/>
      <c r="E18" s="398" t="s">
        <v>3412</v>
      </c>
      <c r="F18" s="401"/>
      <c r="G18" s="398" t="s">
        <v>3412</v>
      </c>
      <c r="H18" s="399"/>
      <c r="I18" s="398" t="s">
        <v>3412</v>
      </c>
      <c r="J18" s="399"/>
      <c r="K18" s="1898"/>
      <c r="L18" s="2719"/>
      <c r="M18" s="2713"/>
      <c r="N18" s="2713"/>
      <c r="O18" s="2713"/>
      <c r="P18" s="3686"/>
      <c r="Q18" s="1351"/>
      <c r="R18" s="705"/>
      <c r="S18" s="706"/>
      <c r="T18" s="705"/>
      <c r="U18" s="706"/>
      <c r="V18" s="705"/>
      <c r="W18" s="706"/>
      <c r="X18" s="1354"/>
      <c r="Y18" s="367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6"/>
      <c r="Q19" s="1351" t="str">
        <f>B19</f>
        <v>公共配套设施</v>
      </c>
      <c r="R19" s="705" t="s">
        <v>18</v>
      </c>
      <c r="S19" s="706">
        <f>F19</f>
        <v>100</v>
      </c>
      <c r="T19" s="705" t="s">
        <v>18</v>
      </c>
      <c r="U19" s="706">
        <f>H19</f>
        <v>100</v>
      </c>
      <c r="V19" s="705" t="s">
        <v>18</v>
      </c>
      <c r="W19" s="706">
        <f>J19</f>
        <v>100</v>
      </c>
      <c r="X19" s="1354"/>
      <c r="Y19" s="3679"/>
      <c r="Z19" s="1355" t="str">
        <f>Q19</f>
        <v>公共配套设施</v>
      </c>
      <c r="AA19" s="1352">
        <f t="shared" si="3"/>
        <v>1</v>
      </c>
      <c r="AB19" s="1352">
        <f t="shared" si="4"/>
        <v>1</v>
      </c>
      <c r="AC19" s="1352">
        <f t="shared" si="5"/>
        <v>1</v>
      </c>
    </row>
    <row r="20" spans="1:29" ht="15">
      <c r="A20" s="379"/>
      <c r="B20" s="407"/>
      <c r="C20" s="398" t="s">
        <v>3412</v>
      </c>
      <c r="D20" s="399"/>
      <c r="E20" s="398" t="s">
        <v>3412</v>
      </c>
      <c r="F20" s="399"/>
      <c r="G20" s="398" t="s">
        <v>3412</v>
      </c>
      <c r="H20" s="399"/>
      <c r="I20" s="398" t="s">
        <v>3412</v>
      </c>
      <c r="J20" s="399"/>
      <c r="K20" s="1898"/>
      <c r="L20" s="2719"/>
      <c r="M20" s="2713"/>
      <c r="N20" s="2713"/>
      <c r="O20" s="2713"/>
      <c r="P20" s="3686"/>
      <c r="Q20" s="1351"/>
      <c r="R20" s="705"/>
      <c r="S20" s="706"/>
      <c r="T20" s="705"/>
      <c r="U20" s="706"/>
      <c r="V20" s="705"/>
      <c r="W20" s="706"/>
      <c r="X20" s="1354"/>
      <c r="Y20" s="367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t="s">
        <v>3421</v>
      </c>
      <c r="D22" s="399"/>
      <c r="E22" s="1900" t="s">
        <v>3421</v>
      </c>
      <c r="F22" s="399"/>
      <c r="G22" s="1900" t="s">
        <v>3421</v>
      </c>
      <c r="H22" s="399"/>
      <c r="I22" s="1900" t="s">
        <v>3421</v>
      </c>
      <c r="J22" s="399"/>
      <c r="K22" s="1904"/>
      <c r="L22" s="2719"/>
      <c r="M22" s="2713"/>
      <c r="N22" s="2713"/>
      <c r="O22" s="2713"/>
      <c r="P22" s="3686"/>
      <c r="Q22" s="1351"/>
      <c r="R22" s="705"/>
      <c r="S22" s="706"/>
      <c r="T22" s="705"/>
      <c r="U22" s="706"/>
      <c r="V22" s="705"/>
      <c r="W22" s="706"/>
      <c r="X22" s="1354"/>
      <c r="Y22" s="367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6"/>
      <c r="Q23" s="1351" t="str">
        <f>B23</f>
        <v>自然及人文环境</v>
      </c>
      <c r="R23" s="705" t="s">
        <v>18</v>
      </c>
      <c r="S23" s="706">
        <f>F23</f>
        <v>100</v>
      </c>
      <c r="T23" s="705" t="s">
        <v>18</v>
      </c>
      <c r="U23" s="706">
        <f>H23</f>
        <v>100</v>
      </c>
      <c r="V23" s="705" t="s">
        <v>18</v>
      </c>
      <c r="W23" s="706">
        <f>J23</f>
        <v>100</v>
      </c>
      <c r="X23" s="1354"/>
      <c r="Y23" s="3679"/>
      <c r="Z23" s="1355" t="str">
        <f>Q23</f>
        <v>自然及人文环境</v>
      </c>
      <c r="AA23" s="1352">
        <f>D23/F23</f>
        <v>1</v>
      </c>
      <c r="AB23" s="1352">
        <f>D23/H23</f>
        <v>1</v>
      </c>
      <c r="AC23" s="1352">
        <f>D23/J23</f>
        <v>1</v>
      </c>
    </row>
    <row r="24" spans="1:29" ht="15">
      <c r="A24" s="379"/>
      <c r="B24" s="407"/>
      <c r="C24" s="398" t="s">
        <v>3412</v>
      </c>
      <c r="D24" s="399"/>
      <c r="E24" s="398" t="s">
        <v>3412</v>
      </c>
      <c r="F24" s="399"/>
      <c r="G24" s="398" t="s">
        <v>3412</v>
      </c>
      <c r="H24" s="399"/>
      <c r="I24" s="398" t="s">
        <v>3412</v>
      </c>
      <c r="J24" s="399"/>
      <c r="K24" s="1898"/>
      <c r="L24" s="2719"/>
      <c r="M24" s="2713"/>
      <c r="N24" s="2713"/>
      <c r="O24" s="2713"/>
      <c r="P24" s="3686"/>
      <c r="Q24" s="1351"/>
      <c r="R24" s="705"/>
      <c r="S24" s="706"/>
      <c r="T24" s="705"/>
      <c r="U24" s="706"/>
      <c r="V24" s="705"/>
      <c r="W24" s="706"/>
      <c r="X24" s="1354"/>
      <c r="Y24" s="3679"/>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3474" t="s">
        <v>3396</v>
      </c>
      <c r="D26" s="386">
        <v>100</v>
      </c>
      <c r="E26" s="1905" t="s">
        <v>3483</v>
      </c>
      <c r="F26" s="386">
        <f>SUMIF(88:88,E26,89:89)-SUMIF(88:88,C26,89:89)+100</f>
        <v>101</v>
      </c>
      <c r="G26" s="1906" t="s">
        <v>3396</v>
      </c>
      <c r="H26" s="386">
        <f>SUMIF(88:88,G26,89:89)-SUMIF(88:88,C26,89:89)+100</f>
        <v>100</v>
      </c>
      <c r="I26" s="1906" t="s">
        <v>3396</v>
      </c>
      <c r="J26" s="386">
        <f>SUMIF(88:88,I26,89:89)-SUMIF(88:88,C26,89:89)+100</f>
        <v>100</v>
      </c>
      <c r="K26" s="377">
        <v>1</v>
      </c>
      <c r="L26" s="2719"/>
      <c r="M26" s="2713"/>
      <c r="N26" s="2713"/>
      <c r="O26" s="2713"/>
      <c r="P26" s="3686"/>
      <c r="Q26" s="1351" t="str">
        <f t="shared" si="11"/>
        <v>朝向</v>
      </c>
      <c r="R26" s="705" t="s">
        <v>18</v>
      </c>
      <c r="S26" s="706">
        <f t="shared" si="12"/>
        <v>101</v>
      </c>
      <c r="T26" s="705" t="s">
        <v>18</v>
      </c>
      <c r="U26" s="706">
        <f t="shared" si="13"/>
        <v>100</v>
      </c>
      <c r="V26" s="705" t="s">
        <v>18</v>
      </c>
      <c r="W26" s="706">
        <f t="shared" si="14"/>
        <v>100</v>
      </c>
      <c r="X26" s="1354"/>
      <c r="Y26" s="3679"/>
      <c r="Z26" s="1355" t="str">
        <f>Q26</f>
        <v>朝向</v>
      </c>
      <c r="AA26" s="1352">
        <f t="shared" si="15"/>
        <v>0.99009900990099009</v>
      </c>
      <c r="AB26" s="1352">
        <f t="shared" si="16"/>
        <v>1</v>
      </c>
      <c r="AC26" s="1352">
        <f t="shared" si="17"/>
        <v>1</v>
      </c>
    </row>
    <row r="27" spans="1:29" s="108" customFormat="1" ht="15">
      <c r="A27" s="382"/>
      <c r="B27" s="3454" t="s">
        <v>3402</v>
      </c>
      <c r="C27" s="3467" t="s">
        <v>3438</v>
      </c>
      <c r="D27" s="413">
        <v>100</v>
      </c>
      <c r="E27" s="3467" t="s">
        <v>3438</v>
      </c>
      <c r="F27" s="413">
        <f>SUMIF(90:90,E27,91:91)-SUMIF(90:90,C27,91:91)+100</f>
        <v>100</v>
      </c>
      <c r="G27" s="3467" t="s">
        <v>3438</v>
      </c>
      <c r="H27" s="413">
        <f>SUMIF(90:90,G27,91:91)-SUMIF(90:90,C27,91:91)+100</f>
        <v>100</v>
      </c>
      <c r="I27" s="3467" t="s">
        <v>3438</v>
      </c>
      <c r="J27" s="413">
        <f>SUMIF(90:90,I27,91:91)-SUMIF(90:90,C27,91:91)+100</f>
        <v>100</v>
      </c>
      <c r="K27" s="1893"/>
      <c r="L27" s="2714"/>
      <c r="M27" s="2715"/>
      <c r="N27" s="2715"/>
      <c r="O27" s="2715"/>
      <c r="P27" s="3686"/>
      <c r="Q27" s="1342" t="str">
        <f t="shared" si="11"/>
        <v>道路级别</v>
      </c>
      <c r="R27" s="701" t="s">
        <v>18</v>
      </c>
      <c r="S27" s="702">
        <f t="shared" si="12"/>
        <v>100</v>
      </c>
      <c r="T27" s="701" t="s">
        <v>18</v>
      </c>
      <c r="U27" s="702">
        <f t="shared" si="13"/>
        <v>100</v>
      </c>
      <c r="V27" s="701" t="s">
        <v>18</v>
      </c>
      <c r="W27" s="702">
        <f t="shared" si="14"/>
        <v>100</v>
      </c>
      <c r="X27" s="703"/>
      <c r="Y27" s="3679"/>
      <c r="Z27" s="52" t="str">
        <f>Q27</f>
        <v>道路级别</v>
      </c>
      <c r="AA27" s="1352">
        <f t="shared" si="15"/>
        <v>1</v>
      </c>
      <c r="AB27" s="1352">
        <f t="shared" si="16"/>
        <v>1</v>
      </c>
      <c r="AC27" s="1352">
        <f t="shared" si="17"/>
        <v>1</v>
      </c>
    </row>
    <row r="28" spans="1:29" ht="15.75" thickBot="1">
      <c r="A28" s="379"/>
      <c r="B28" s="3454" t="s">
        <v>3429</v>
      </c>
      <c r="C28" s="385" t="s">
        <v>3491</v>
      </c>
      <c r="D28" s="386">
        <v>100</v>
      </c>
      <c r="E28" s="3479" t="s">
        <v>3492</v>
      </c>
      <c r="F28" s="386">
        <f>SUMIF(92:92,E28,93:93)-SUMIF(92:92,C28,93:93)+100</f>
        <v>96</v>
      </c>
      <c r="G28" s="3479" t="s">
        <v>3494</v>
      </c>
      <c r="H28" s="386">
        <f>SUMIF(92:92,G28,93:93)-SUMIF(92:92,C28,93:93)+100</f>
        <v>100</v>
      </c>
      <c r="I28" s="3479" t="s">
        <v>3492</v>
      </c>
      <c r="J28" s="386">
        <f>SUMIF(92:92,I28,93:93)-SUMIF(92:92,C28,93:93)+100</f>
        <v>96</v>
      </c>
      <c r="K28" s="1893"/>
      <c r="L28" s="2719"/>
      <c r="M28" s="2713"/>
      <c r="N28" s="2713"/>
      <c r="O28" s="2713"/>
      <c r="P28" s="3686"/>
      <c r="Q28" s="1351" t="str">
        <f t="shared" si="11"/>
        <v>楼层</v>
      </c>
      <c r="R28" s="705" t="s">
        <v>18</v>
      </c>
      <c r="S28" s="706">
        <f t="shared" si="12"/>
        <v>96</v>
      </c>
      <c r="T28" s="705" t="s">
        <v>18</v>
      </c>
      <c r="U28" s="706">
        <f t="shared" si="13"/>
        <v>100</v>
      </c>
      <c r="V28" s="705" t="s">
        <v>18</v>
      </c>
      <c r="W28" s="706">
        <f t="shared" si="14"/>
        <v>96</v>
      </c>
      <c r="X28" s="1354"/>
      <c r="Y28" s="3679"/>
      <c r="Z28" s="1355" t="str">
        <f t="shared" ref="Z28:Z46" si="18">Q28</f>
        <v>楼层</v>
      </c>
      <c r="AA28" s="1352">
        <f t="shared" si="15"/>
        <v>1.0416666666666667</v>
      </c>
      <c r="AB28" s="1352">
        <f t="shared" si="16"/>
        <v>1</v>
      </c>
      <c r="AC28" s="1352">
        <f t="shared" si="17"/>
        <v>1.0416666666666667</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6"/>
      <c r="Q29" s="1351">
        <f t="shared" si="11"/>
        <v>111</v>
      </c>
      <c r="R29" s="705" t="s">
        <v>18</v>
      </c>
      <c r="S29" s="706">
        <f t="shared" si="12"/>
        <v>100</v>
      </c>
      <c r="T29" s="705" t="s">
        <v>18</v>
      </c>
      <c r="U29" s="706">
        <f t="shared" si="13"/>
        <v>100</v>
      </c>
      <c r="V29" s="705" t="s">
        <v>18</v>
      </c>
      <c r="W29" s="706">
        <f t="shared" si="14"/>
        <v>100</v>
      </c>
      <c r="X29" s="1354"/>
      <c r="Y29" s="3679"/>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6"/>
      <c r="Q30" s="1351">
        <f t="shared" si="11"/>
        <v>111</v>
      </c>
      <c r="R30" s="705" t="s">
        <v>18</v>
      </c>
      <c r="S30" s="706">
        <f t="shared" si="12"/>
        <v>100</v>
      </c>
      <c r="T30" s="705" t="s">
        <v>18</v>
      </c>
      <c r="U30" s="706">
        <f t="shared" si="13"/>
        <v>100</v>
      </c>
      <c r="V30" s="705" t="s">
        <v>18</v>
      </c>
      <c r="W30" s="706">
        <f t="shared" si="14"/>
        <v>100</v>
      </c>
      <c r="X30" s="1354"/>
      <c r="Y30" s="3679"/>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6"/>
      <c r="Q31" s="1351">
        <f t="shared" si="11"/>
        <v>111</v>
      </c>
      <c r="R31" s="705" t="s">
        <v>18</v>
      </c>
      <c r="S31" s="706">
        <f t="shared" si="12"/>
        <v>100</v>
      </c>
      <c r="T31" s="705" t="s">
        <v>18</v>
      </c>
      <c r="U31" s="706">
        <f t="shared" si="13"/>
        <v>100</v>
      </c>
      <c r="V31" s="705" t="s">
        <v>18</v>
      </c>
      <c r="W31" s="706">
        <f t="shared" si="14"/>
        <v>100</v>
      </c>
      <c r="X31" s="1354"/>
      <c r="Y31" s="3679"/>
      <c r="Z31" s="1355">
        <f t="shared" si="18"/>
        <v>111</v>
      </c>
      <c r="AA31" s="1352">
        <f t="shared" si="15"/>
        <v>1</v>
      </c>
      <c r="AB31" s="1352">
        <f t="shared" si="16"/>
        <v>1</v>
      </c>
      <c r="AC31" s="1352">
        <f t="shared" si="17"/>
        <v>1</v>
      </c>
    </row>
    <row r="32" spans="1:29" ht="15">
      <c r="A32" s="391" t="s">
        <v>1694</v>
      </c>
      <c r="B32" s="63" t="s">
        <v>1695</v>
      </c>
      <c r="C32" s="1909" t="s">
        <v>3403</v>
      </c>
      <c r="D32" s="418">
        <v>100</v>
      </c>
      <c r="E32" s="1909" t="s">
        <v>3403</v>
      </c>
      <c r="F32" s="412">
        <f>SUMIF(100:100,E32,101:101)-SUMIF(100:100,C32,101:101)+100</f>
        <v>100</v>
      </c>
      <c r="G32" s="1909" t="s">
        <v>3403</v>
      </c>
      <c r="H32" s="418">
        <f>SUMIF(100:100,G32,101:101)-SUMIF(100:100,C32,101:101)+100</f>
        <v>100</v>
      </c>
      <c r="I32" s="1909" t="s">
        <v>3403</v>
      </c>
      <c r="J32" s="386">
        <f>SUMIF(100:100,I32,101:101)-SUMIF(100:100,C32,101:101)+100</f>
        <v>100</v>
      </c>
      <c r="K32" s="377"/>
      <c r="L32" s="2719"/>
      <c r="M32" s="2713"/>
      <c r="N32" s="2713"/>
      <c r="O32" s="2713"/>
      <c r="P32" s="3680" t="s">
        <v>1696</v>
      </c>
      <c r="Q32" s="1351" t="str">
        <f t="shared" si="11"/>
        <v>建筑类型</v>
      </c>
      <c r="R32" s="705" t="s">
        <v>18</v>
      </c>
      <c r="S32" s="706">
        <f t="shared" si="12"/>
        <v>100</v>
      </c>
      <c r="T32" s="705" t="s">
        <v>18</v>
      </c>
      <c r="U32" s="706">
        <f t="shared" si="13"/>
        <v>100</v>
      </c>
      <c r="V32" s="705" t="s">
        <v>18</v>
      </c>
      <c r="W32" s="706">
        <f t="shared" si="14"/>
        <v>100</v>
      </c>
      <c r="X32" s="1354"/>
      <c r="Y32" s="3683"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81"/>
      <c r="Q33" s="707" t="str">
        <f t="shared" si="11"/>
        <v>项目建筑规模</v>
      </c>
      <c r="R33" s="708" t="s">
        <v>18</v>
      </c>
      <c r="S33" s="709">
        <f t="shared" si="12"/>
        <v>100</v>
      </c>
      <c r="T33" s="708" t="s">
        <v>18</v>
      </c>
      <c r="U33" s="709">
        <f t="shared" si="13"/>
        <v>100</v>
      </c>
      <c r="V33" s="708" t="s">
        <v>18</v>
      </c>
      <c r="W33" s="709">
        <f t="shared" si="14"/>
        <v>100</v>
      </c>
      <c r="X33" s="710"/>
      <c r="Y33" s="3683"/>
      <c r="Z33" s="711"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c r="L34" s="2719"/>
      <c r="M34" s="2713"/>
      <c r="N34" s="2713"/>
      <c r="O34" s="2713"/>
      <c r="P34" s="3681"/>
      <c r="Q34" s="1351" t="str">
        <f t="shared" si="11"/>
        <v>建筑结构</v>
      </c>
      <c r="R34" s="705" t="s">
        <v>18</v>
      </c>
      <c r="S34" s="706">
        <f t="shared" si="12"/>
        <v>100</v>
      </c>
      <c r="T34" s="705" t="s">
        <v>18</v>
      </c>
      <c r="U34" s="706">
        <f t="shared" si="13"/>
        <v>100</v>
      </c>
      <c r="V34" s="705" t="s">
        <v>18</v>
      </c>
      <c r="W34" s="706">
        <f t="shared" si="14"/>
        <v>100</v>
      </c>
      <c r="X34" s="1354"/>
      <c r="Y34" s="3683"/>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1"/>
      <c r="Q35" s="1351" t="str">
        <f t="shared" si="11"/>
        <v>建筑品质</v>
      </c>
      <c r="R35" s="705" t="s">
        <v>18</v>
      </c>
      <c r="S35" s="706">
        <f t="shared" si="12"/>
        <v>100</v>
      </c>
      <c r="T35" s="705" t="s">
        <v>18</v>
      </c>
      <c r="U35" s="706">
        <f t="shared" si="13"/>
        <v>100</v>
      </c>
      <c r="V35" s="705" t="s">
        <v>18</v>
      </c>
      <c r="W35" s="706">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t="s">
        <v>3416</v>
      </c>
      <c r="D36" s="386">
        <v>100</v>
      </c>
      <c r="E36" s="1905" t="s">
        <v>3416</v>
      </c>
      <c r="F36" s="412">
        <f>SUMIF(109:109,E36,110:110)-SUMIF(109:109,C36,110:110)+100</f>
        <v>100</v>
      </c>
      <c r="G36" s="1905" t="s">
        <v>3416</v>
      </c>
      <c r="H36" s="386">
        <f>SUMIF(109:109,G36,110:110)-SUMIF(109:109,C36,110:110)+100</f>
        <v>100</v>
      </c>
      <c r="I36" s="1905" t="s">
        <v>3416</v>
      </c>
      <c r="J36" s="386">
        <f>SUMIF(109:109,I36,110:110)-SUMIF(109:109,C36,110:110)+100</f>
        <v>100</v>
      </c>
      <c r="K36" s="377"/>
      <c r="L36" s="2719"/>
      <c r="M36" s="2713"/>
      <c r="N36" s="2713"/>
      <c r="O36" s="2713"/>
      <c r="P36" s="3681"/>
      <c r="Q36" s="1351" t="str">
        <f t="shared" si="11"/>
        <v>公共部分装修</v>
      </c>
      <c r="R36" s="705" t="s">
        <v>18</v>
      </c>
      <c r="S36" s="706">
        <f t="shared" si="12"/>
        <v>100</v>
      </c>
      <c r="T36" s="705" t="s">
        <v>18</v>
      </c>
      <c r="U36" s="706">
        <f t="shared" si="13"/>
        <v>100</v>
      </c>
      <c r="V36" s="705" t="s">
        <v>18</v>
      </c>
      <c r="W36" s="706">
        <f t="shared" si="14"/>
        <v>100</v>
      </c>
      <c r="X36" s="1354"/>
      <c r="Y36" s="3683"/>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81"/>
      <c r="Q37" s="1342"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c r="L38" s="2719"/>
      <c r="M38" s="2713"/>
      <c r="N38" s="2713"/>
      <c r="O38" s="2713"/>
      <c r="P38" s="3681" t="s">
        <v>1696</v>
      </c>
      <c r="Q38" s="1351" t="str">
        <f t="shared" si="11"/>
        <v>物业管理</v>
      </c>
      <c r="R38" s="705" t="s">
        <v>18</v>
      </c>
      <c r="S38" s="706">
        <f t="shared" si="12"/>
        <v>100</v>
      </c>
      <c r="T38" s="705" t="s">
        <v>18</v>
      </c>
      <c r="U38" s="706">
        <f t="shared" si="13"/>
        <v>100</v>
      </c>
      <c r="V38" s="705" t="s">
        <v>18</v>
      </c>
      <c r="W38" s="706">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377"/>
      <c r="L39" s="2719"/>
      <c r="M39" s="2713"/>
      <c r="N39" s="2713"/>
      <c r="O39" s="2713"/>
      <c r="P39" s="3681"/>
      <c r="Q39" s="1351" t="str">
        <f t="shared" si="11"/>
        <v>市政基础设施</v>
      </c>
      <c r="R39" s="705" t="s">
        <v>18</v>
      </c>
      <c r="S39" s="706">
        <f t="shared" si="12"/>
        <v>100</v>
      </c>
      <c r="T39" s="705" t="s">
        <v>18</v>
      </c>
      <c r="U39" s="706">
        <f t="shared" si="13"/>
        <v>100</v>
      </c>
      <c r="V39" s="705" t="s">
        <v>18</v>
      </c>
      <c r="W39" s="706">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t="s">
        <v>3427</v>
      </c>
      <c r="D40" s="386">
        <v>100</v>
      </c>
      <c r="E40" s="1905" t="s">
        <v>3427</v>
      </c>
      <c r="F40" s="412">
        <f>SUMIF(118:118,E40,119:119)-SUMIF(118:118,C40,119:119)+100</f>
        <v>100</v>
      </c>
      <c r="G40" s="1905" t="s">
        <v>3427</v>
      </c>
      <c r="H40" s="386">
        <f>SUMIF(118:118,G40,119:119)-SUMIF(118:118,C40,119:119)+100</f>
        <v>100</v>
      </c>
      <c r="I40" s="1905" t="s">
        <v>3427</v>
      </c>
      <c r="J40" s="386">
        <f>SUMIF(118:118,I40,119:119)-SUMIF(118:118,C40,119:119)+100</f>
        <v>100</v>
      </c>
      <c r="K40" s="377"/>
      <c r="L40" s="2719"/>
      <c r="M40" s="2713"/>
      <c r="N40" s="2713"/>
      <c r="O40" s="2713"/>
      <c r="P40" s="3681"/>
      <c r="Q40" s="1351" t="str">
        <f t="shared" si="11"/>
        <v>房型</v>
      </c>
      <c r="R40" s="705" t="s">
        <v>18</v>
      </c>
      <c r="S40" s="706">
        <f t="shared" si="12"/>
        <v>100</v>
      </c>
      <c r="T40" s="705" t="s">
        <v>18</v>
      </c>
      <c r="U40" s="706">
        <f t="shared" si="13"/>
        <v>100</v>
      </c>
      <c r="V40" s="705" t="s">
        <v>18</v>
      </c>
      <c r="W40" s="706">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f>'数据-汇总表'!E19</f>
        <v>56.8</v>
      </c>
      <c r="D41" s="127">
        <v>100</v>
      </c>
      <c r="E41" s="381">
        <f>成交案例!E4</f>
        <v>53.95</v>
      </c>
      <c r="F41" s="376">
        <v>100</v>
      </c>
      <c r="G41" s="380">
        <f>成交案例!E7</f>
        <v>36.21</v>
      </c>
      <c r="H41" s="3481">
        <v>102</v>
      </c>
      <c r="I41" s="428">
        <f>成交案例!E6</f>
        <v>47.35</v>
      </c>
      <c r="J41" s="386">
        <v>100</v>
      </c>
      <c r="K41" s="1893"/>
      <c r="L41" s="2718"/>
      <c r="M41" s="2720"/>
      <c r="N41" s="2720"/>
      <c r="O41" s="2720"/>
      <c r="P41" s="3681"/>
      <c r="Q41" s="707" t="str">
        <f t="shared" si="11"/>
        <v>单套/主力户型建筑面积</v>
      </c>
      <c r="R41" s="708" t="s">
        <v>18</v>
      </c>
      <c r="S41" s="709">
        <f t="shared" si="12"/>
        <v>100</v>
      </c>
      <c r="T41" s="708" t="s">
        <v>18</v>
      </c>
      <c r="U41" s="709">
        <f t="shared" si="13"/>
        <v>102</v>
      </c>
      <c r="V41" s="708" t="s">
        <v>18</v>
      </c>
      <c r="W41" s="709">
        <f t="shared" si="14"/>
        <v>100</v>
      </c>
      <c r="X41" s="710"/>
      <c r="Y41" s="3683"/>
      <c r="Z41" s="711" t="str">
        <f t="shared" si="18"/>
        <v>单套/主力户型建筑面积</v>
      </c>
      <c r="AA41" s="1352">
        <f t="shared" si="15"/>
        <v>1</v>
      </c>
      <c r="AB41" s="1352">
        <f t="shared" si="16"/>
        <v>0.98039215686274506</v>
      </c>
      <c r="AC41" s="1352">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v>4</v>
      </c>
      <c r="L42" s="2719"/>
      <c r="M42" s="2713"/>
      <c r="N42" s="2713"/>
      <c r="O42" s="2713"/>
      <c r="P42" s="3681"/>
      <c r="Q42" s="1351" t="str">
        <f t="shared" si="11"/>
        <v>内部装修</v>
      </c>
      <c r="R42" s="705" t="s">
        <v>18</v>
      </c>
      <c r="S42" s="706">
        <f t="shared" si="12"/>
        <v>100</v>
      </c>
      <c r="T42" s="705" t="s">
        <v>18</v>
      </c>
      <c r="U42" s="706">
        <f t="shared" si="13"/>
        <v>100</v>
      </c>
      <c r="V42" s="705" t="s">
        <v>18</v>
      </c>
      <c r="W42" s="706">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t="s">
        <v>3439</v>
      </c>
      <c r="D43" s="386">
        <v>100</v>
      </c>
      <c r="E43" s="1905" t="s">
        <v>3439</v>
      </c>
      <c r="F43" s="412">
        <f>SUMIF(124:124,E43,125:125)-SUMIF(124:124,C43,125:125)+100</f>
        <v>100</v>
      </c>
      <c r="G43" s="1905" t="s">
        <v>3439</v>
      </c>
      <c r="H43" s="386">
        <f>SUMIF(124:124,G43,125:125)-SUMIF(124:124,C43,125:125)+100</f>
        <v>100</v>
      </c>
      <c r="I43" s="1905" t="s">
        <v>3439</v>
      </c>
      <c r="J43" s="386">
        <f>SUMIF(124:124,I43,125:125)-SUMIF(124:124,C43,125:125)+100</f>
        <v>100</v>
      </c>
      <c r="K43" s="377"/>
      <c r="L43" s="2719"/>
      <c r="M43" s="2713"/>
      <c r="N43" s="2713"/>
      <c r="O43" s="2713"/>
      <c r="P43" s="3681"/>
      <c r="Q43" s="1351" t="str">
        <f t="shared" si="11"/>
        <v>内部装修维护情况</v>
      </c>
      <c r="R43" s="705" t="s">
        <v>18</v>
      </c>
      <c r="S43" s="706">
        <f t="shared" si="12"/>
        <v>100</v>
      </c>
      <c r="T43" s="705" t="s">
        <v>18</v>
      </c>
      <c r="U43" s="706">
        <f t="shared" si="13"/>
        <v>100</v>
      </c>
      <c r="V43" s="705" t="s">
        <v>18</v>
      </c>
      <c r="W43" s="706">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3454" t="s">
        <v>3428</v>
      </c>
      <c r="C44" s="420">
        <v>1984</v>
      </c>
      <c r="D44" s="127">
        <v>100</v>
      </c>
      <c r="E44" s="420">
        <f>成交案例!L4</f>
        <v>1984</v>
      </c>
      <c r="F44" s="376">
        <f>SUMIF(126:126,E44,127:127)-SUMIF(126:126,C44,127:127)+100</f>
        <v>100</v>
      </c>
      <c r="G44" s="420">
        <v>1984</v>
      </c>
      <c r="H44" s="127">
        <f>SUMIF(126:126,G44,127:127)-SUMIF(126:126,C44,127:127)+100</f>
        <v>100</v>
      </c>
      <c r="I44" s="420">
        <f>成交案例!L6</f>
        <v>1984</v>
      </c>
      <c r="J44" s="127">
        <f>SUMIF(126:126,I44,127:127)-SUMIF(126:126,C44,127:127)+100</f>
        <v>100</v>
      </c>
      <c r="K44" s="1893"/>
      <c r="L44" s="2714"/>
      <c r="M44" s="2715"/>
      <c r="N44" s="2715"/>
      <c r="O44" s="2715"/>
      <c r="P44" s="3681"/>
      <c r="Q44" s="1342" t="str">
        <f t="shared" si="11"/>
        <v>建成年代</v>
      </c>
      <c r="R44" s="701" t="s">
        <v>18</v>
      </c>
      <c r="S44" s="702">
        <f t="shared" si="12"/>
        <v>100</v>
      </c>
      <c r="T44" s="701" t="s">
        <v>18</v>
      </c>
      <c r="U44" s="702">
        <f t="shared" si="13"/>
        <v>100</v>
      </c>
      <c r="V44" s="701" t="s">
        <v>18</v>
      </c>
      <c r="W44" s="702">
        <f t="shared" si="14"/>
        <v>100</v>
      </c>
      <c r="X44" s="703"/>
      <c r="Y44" s="3683"/>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1"/>
      <c r="Q45" s="1351">
        <f t="shared" si="11"/>
        <v>111</v>
      </c>
      <c r="R45" s="705" t="s">
        <v>18</v>
      </c>
      <c r="S45" s="706">
        <f t="shared" si="12"/>
        <v>100</v>
      </c>
      <c r="T45" s="705" t="s">
        <v>18</v>
      </c>
      <c r="U45" s="706">
        <f t="shared" si="13"/>
        <v>100</v>
      </c>
      <c r="V45" s="705" t="s">
        <v>18</v>
      </c>
      <c r="W45" s="706">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2"/>
      <c r="Q46" s="1351">
        <f t="shared" si="11"/>
        <v>111</v>
      </c>
      <c r="R46" s="705" t="s">
        <v>17</v>
      </c>
      <c r="S46" s="706">
        <f t="shared" si="12"/>
        <v>100</v>
      </c>
      <c r="T46" s="705" t="s">
        <v>17</v>
      </c>
      <c r="U46" s="706">
        <f t="shared" si="13"/>
        <v>100</v>
      </c>
      <c r="V46" s="705" t="s">
        <v>17</v>
      </c>
      <c r="W46" s="706">
        <f t="shared" si="14"/>
        <v>100</v>
      </c>
      <c r="X46" s="1354"/>
      <c r="Y46" s="3684"/>
      <c r="Z46" s="1355">
        <f t="shared" si="18"/>
        <v>111</v>
      </c>
      <c r="AA46" s="1352">
        <f t="shared" si="15"/>
        <v>1</v>
      </c>
      <c r="AB46" s="1352">
        <f t="shared" si="16"/>
        <v>1</v>
      </c>
      <c r="AC46" s="1352">
        <f t="shared" si="17"/>
        <v>1</v>
      </c>
    </row>
    <row r="47" spans="1:29" ht="15">
      <c r="A47" s="430" t="s">
        <v>1708</v>
      </c>
      <c r="B47" s="431"/>
      <c r="C47" s="1154" t="s">
        <v>16</v>
      </c>
      <c r="D47" s="1155"/>
      <c r="E47" s="1156">
        <f>成交案例!M4</f>
        <v>113994</v>
      </c>
      <c r="F47" s="1157"/>
      <c r="G47" s="1158">
        <f>成交案例!M7</f>
        <v>124275</v>
      </c>
      <c r="H47" s="1159"/>
      <c r="I47" s="1156">
        <f>成交案例!M6</f>
        <v>116579</v>
      </c>
      <c r="J47" s="1159"/>
      <c r="K47" s="1911"/>
      <c r="L47" s="2721"/>
      <c r="M47" s="2722"/>
      <c r="N47" s="2713"/>
      <c r="O47" s="2722"/>
      <c r="P47" s="3676" t="str">
        <f>A47</f>
        <v>成交单价（元/平方米）</v>
      </c>
      <c r="Q47" s="3676"/>
      <c r="R47" s="3677">
        <f>E47</f>
        <v>113994</v>
      </c>
      <c r="S47" s="3677"/>
      <c r="T47" s="3677">
        <f>G47</f>
        <v>124275</v>
      </c>
      <c r="U47" s="3677"/>
      <c r="V47" s="3677">
        <f>I47</f>
        <v>116579</v>
      </c>
      <c r="W47" s="3677"/>
      <c r="X47" s="690"/>
      <c r="Y47" s="712"/>
      <c r="Z47" s="690"/>
      <c r="AA47" s="690"/>
      <c r="AB47" s="690"/>
      <c r="AC47" s="690"/>
    </row>
    <row r="48" spans="1:29" ht="15.75" thickBot="1">
      <c r="A48" s="437" t="s">
        <v>1709</v>
      </c>
      <c r="B48" s="438"/>
      <c r="C48" s="1160">
        <f>R49</f>
        <v>122332</v>
      </c>
      <c r="D48" s="2314" t="s">
        <v>2138</v>
      </c>
      <c r="E48" s="1161">
        <f>R48</f>
        <v>118756</v>
      </c>
      <c r="F48" s="2315"/>
      <c r="G48" s="1160">
        <f>T48</f>
        <v>124325</v>
      </c>
      <c r="H48" s="2315"/>
      <c r="I48" s="1161">
        <f>V48</f>
        <v>123915</v>
      </c>
      <c r="J48" s="2315"/>
      <c r="K48" s="2316">
        <f>F48+H48+J48</f>
        <v>0</v>
      </c>
      <c r="L48" s="2721"/>
      <c r="M48" s="2722"/>
      <c r="N48" s="2722"/>
      <c r="O48" s="2722"/>
      <c r="P48" s="3676" t="str">
        <f>A48</f>
        <v>比较价值（元/平方米）</v>
      </c>
      <c r="Q48" s="3676"/>
      <c r="R48" s="3677">
        <f>IF(F1="售价",ROUND(PRODUCT(R47,AA7:AA46),0),ROUND(PRODUCT(R47,AA7:AA46),1))</f>
        <v>118756</v>
      </c>
      <c r="S48" s="3677"/>
      <c r="T48" s="3677">
        <f>IF(F1="售价",ROUND(PRODUCT(T47,AB7:AB46),0),ROUND(PRODUCT(T47,AB7:AB46),1))</f>
        <v>124325</v>
      </c>
      <c r="U48" s="3677"/>
      <c r="V48" s="3677">
        <f>IF(F1="售价",ROUND(PRODUCT(V47,AC7:AC46),0),ROUND(PRODUCT(V47,AC7:AC46),1))</f>
        <v>123915</v>
      </c>
      <c r="W48" s="3677"/>
      <c r="X48" s="690"/>
      <c r="Y48" s="690"/>
      <c r="Z48" s="690"/>
      <c r="AA48" s="690"/>
      <c r="AB48" s="690"/>
      <c r="AC48" s="690"/>
    </row>
    <row r="49" spans="1:29" ht="15.75" thickBot="1">
      <c r="A49" s="441" t="s">
        <v>1710</v>
      </c>
      <c r="B49" s="442"/>
      <c r="C49" s="1162">
        <f>R49</f>
        <v>122332</v>
      </c>
      <c r="D49" s="1163"/>
      <c r="E49" s="1163"/>
      <c r="F49" s="1163"/>
      <c r="G49" s="1163"/>
      <c r="H49" s="1163"/>
      <c r="I49" s="1163"/>
      <c r="J49" s="1163"/>
      <c r="K49" s="1912"/>
      <c r="L49" s="2721"/>
      <c r="M49" s="2722"/>
      <c r="N49" s="2722"/>
      <c r="O49" s="2722"/>
      <c r="P49" s="3673" t="str">
        <f>A49</f>
        <v>估价对象XX用房的比较价值（楼面单价，元/平方米）</v>
      </c>
      <c r="Q49" s="3674"/>
      <c r="R49" s="3675">
        <f>IF(F1="售价",ROUND(IF(D48="简单平均",AVERAGE(R48:V48),R48*F48+T48*H48+V48*J48),0),ROUND(IF(D48="简单平均",AVERAGE(R48:V48),R48*F48+T48*H48+V48*J48),1))</f>
        <v>122332</v>
      </c>
      <c r="S49" s="3675"/>
      <c r="T49" s="3675"/>
      <c r="U49" s="3675"/>
      <c r="V49" s="3675"/>
      <c r="W49" s="367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4.1774128462901627E-2</v>
      </c>
      <c r="F52" s="449" t="str">
        <f>IF(OR(E52&gt;=0.3,E52&lt;=-0.3),"超过30%","")</f>
        <v/>
      </c>
      <c r="G52" s="448">
        <f>IF(G47&lt;G48,G48/G47-1,G47/G48-1)</f>
        <v>4.0233353450003229E-4</v>
      </c>
      <c r="H52" s="449" t="str">
        <f>IF(OR(G52&gt;=0.3,G52&lt;=-0.3),"超过30%","")</f>
        <v/>
      </c>
      <c r="I52" s="448">
        <f>IF(I47&lt;I48,I48/I47-1,I47/I48-1)</f>
        <v>6.2927285360142138E-2</v>
      </c>
      <c r="J52" s="449" t="str">
        <f>IF(OR(I52&gt;=0.3,I52&lt;=-0.3),"超过30%","")</f>
        <v/>
      </c>
      <c r="K52" s="2727"/>
      <c r="L52" s="2723"/>
      <c r="M52" s="2722"/>
      <c r="N52" s="2722"/>
      <c r="O52" s="2722"/>
    </row>
    <row r="53" spans="1:29" ht="13.5" customHeight="1">
      <c r="A53" s="2722"/>
      <c r="B53" s="2722"/>
      <c r="C53" s="446" t="s">
        <v>1712</v>
      </c>
      <c r="D53" s="450"/>
      <c r="E53" s="448">
        <f>IF(E48&lt;G48,G48/E48-1,E48/G48-1)</f>
        <v>4.689447270032665E-2</v>
      </c>
      <c r="F53" s="449" t="str">
        <f>IF(OR(E53&gt;=0.2,E53&lt;=-0.2),"超过20%","")</f>
        <v/>
      </c>
      <c r="G53" s="448">
        <f>IF(G48&lt;I48,I48/G48-1,G48/I48-1)</f>
        <v>3.3087196868821778E-3</v>
      </c>
      <c r="H53" s="449" t="str">
        <f>IF(OR(G53&gt;=0.2,G53&lt;=-0.2),"超过20%","")</f>
        <v/>
      </c>
      <c r="I53" s="448">
        <f>IF(I48&lt;E48,E48/I48-1,I48/E48-1)</f>
        <v>4.3442015561319103E-2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9.0188957313542817E-2</v>
      </c>
      <c r="F54" s="449" t="str">
        <f>IF(OR(E54&gt;=0.3,E54&lt;=-0.3),"超过30%","")</f>
        <v/>
      </c>
      <c r="G54" s="448">
        <f>IF(G47&lt;I47,I47/G47-1,G47/I47-1)</f>
        <v>6.6015320083376849E-2</v>
      </c>
      <c r="H54" s="449" t="str">
        <f>IF(OR(G54&gt;=0.3,G54&lt;=-0.3),"超过30%","")</f>
        <v/>
      </c>
      <c r="I54" s="448">
        <f>IF(I47&lt;E47,E47/I47-1,I47/E47-1)</f>
        <v>2.267663210344395E-2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3449">
        <v>44593</v>
      </c>
      <c r="Q58" s="3449">
        <v>44562</v>
      </c>
      <c r="R58" s="3449">
        <v>44531</v>
      </c>
    </row>
    <row r="59" spans="1:29" s="108" customFormat="1" ht="15">
      <c r="A59" s="458"/>
      <c r="B59" s="1916"/>
      <c r="C59" s="1182">
        <v>100</v>
      </c>
      <c r="D59" s="3447">
        <v>100</v>
      </c>
      <c r="E59" s="3447">
        <v>100</v>
      </c>
      <c r="F59" s="3447">
        <v>100</v>
      </c>
      <c r="G59" s="3447">
        <v>99</v>
      </c>
      <c r="H59" s="3447">
        <v>99</v>
      </c>
      <c r="I59" s="3447">
        <v>99</v>
      </c>
      <c r="J59" s="3447">
        <v>98</v>
      </c>
      <c r="K59" s="3447">
        <v>98</v>
      </c>
      <c r="L59" s="3447">
        <v>98</v>
      </c>
      <c r="M59" s="3448">
        <v>97</v>
      </c>
      <c r="N59" s="3447">
        <v>97</v>
      </c>
      <c r="O59" s="3448">
        <v>98</v>
      </c>
      <c r="P59" s="3448">
        <v>98</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3431</v>
      </c>
      <c r="D65" s="3465" t="s">
        <v>3432</v>
      </c>
      <c r="E65" s="3465" t="s">
        <v>3433</v>
      </c>
      <c r="F65" s="3465" t="s">
        <v>3434</v>
      </c>
      <c r="G65" s="3465" t="s">
        <v>3435</v>
      </c>
      <c r="H65" s="3465" t="s">
        <v>3436</v>
      </c>
      <c r="I65" s="3465" t="s">
        <v>3437</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6" t="s">
        <v>3460</v>
      </c>
      <c r="D88" s="3461" t="s">
        <v>3463</v>
      </c>
      <c r="E88" s="3461" t="s">
        <v>3465</v>
      </c>
      <c r="F88" s="3461" t="s">
        <v>3466</v>
      </c>
      <c r="G88" s="3461" t="s">
        <v>3462</v>
      </c>
      <c r="H88" s="3461" t="s">
        <v>3467</v>
      </c>
      <c r="I88" s="3477" t="s">
        <v>3468</v>
      </c>
      <c r="J88" s="3477" t="s">
        <v>3469</v>
      </c>
      <c r="K88" s="3461" t="s">
        <v>3464</v>
      </c>
      <c r="L88" s="3461" t="s">
        <v>3470</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3397</v>
      </c>
      <c r="D90" s="3450" t="s">
        <v>3398</v>
      </c>
      <c r="E90" s="3450" t="s">
        <v>3399</v>
      </c>
      <c r="F90" s="3450" t="s">
        <v>3400</v>
      </c>
      <c r="G90" s="3450" t="s">
        <v>3401</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8" t="str">
        <f>C28</f>
        <v>4/6（中楼层）</v>
      </c>
      <c r="D92" s="3469" t="s">
        <v>3440</v>
      </c>
      <c r="E92" s="3469" t="str">
        <f>I28</f>
        <v>1/6（底层）</v>
      </c>
      <c r="F92" s="3479" t="s">
        <v>3493</v>
      </c>
      <c r="G92" s="532"/>
      <c r="H92" s="532"/>
      <c r="I92" s="532"/>
      <c r="J92" s="532"/>
      <c r="K92" s="533"/>
      <c r="L92" s="534"/>
      <c r="M92" s="535"/>
      <c r="N92" s="933"/>
      <c r="O92" s="933"/>
      <c r="P92" s="1919"/>
      <c r="Q92" s="453"/>
    </row>
    <row r="93" spans="1:17" ht="15.75" thickBot="1">
      <c r="A93" s="483"/>
      <c r="B93" s="492"/>
      <c r="C93" s="3453">
        <v>100</v>
      </c>
      <c r="D93" s="3459">
        <v>101</v>
      </c>
      <c r="E93" s="3459">
        <v>96</v>
      </c>
      <c r="F93" s="3459">
        <v>96</v>
      </c>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3403</v>
      </c>
      <c r="D100" s="3456" t="s">
        <v>3404</v>
      </c>
      <c r="E100" s="3457" t="s">
        <v>3405</v>
      </c>
      <c r="F100" s="3458" t="s">
        <v>3406</v>
      </c>
      <c r="G100" s="3458" t="s">
        <v>3407</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0(含)-40</v>
      </c>
      <c r="D102" s="527" t="str">
        <f t="shared" ref="D102:L102" si="27">D103&amp;"(含)"&amp;"-"&amp;E103</f>
        <v>40(含)-80</v>
      </c>
      <c r="E102" s="527" t="str">
        <f t="shared" si="27"/>
        <v>80(含)-120</v>
      </c>
      <c r="F102" s="527" t="str">
        <f t="shared" si="27"/>
        <v>120(含)-160</v>
      </c>
      <c r="G102" s="527" t="str">
        <f t="shared" si="27"/>
        <v>160(含)-200</v>
      </c>
      <c r="H102" s="527" t="str">
        <f t="shared" si="27"/>
        <v>200(含)-240</v>
      </c>
      <c r="I102" s="527" t="str">
        <f t="shared" si="27"/>
        <v>240(含)-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40</v>
      </c>
      <c r="E103" s="6">
        <v>80</v>
      </c>
      <c r="F103" s="6">
        <v>120</v>
      </c>
      <c r="G103" s="6">
        <v>160</v>
      </c>
      <c r="H103" s="6">
        <v>200</v>
      </c>
      <c r="I103" s="6">
        <v>240</v>
      </c>
      <c r="J103" s="545"/>
      <c r="K103" s="545"/>
      <c r="L103" s="546"/>
      <c r="M103" s="547"/>
      <c r="N103" s="935"/>
      <c r="O103" s="935"/>
      <c r="P103" s="1920"/>
      <c r="Q103" s="508"/>
    </row>
    <row r="104" spans="1:17" s="422" customFormat="1" ht="15.75" thickBot="1">
      <c r="A104" s="502"/>
      <c r="B104" s="492"/>
      <c r="C104" s="3453">
        <v>100</v>
      </c>
      <c r="D104" s="3459">
        <v>95</v>
      </c>
      <c r="E104" s="3459">
        <v>90</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3408</v>
      </c>
      <c r="D105" s="3450" t="s">
        <v>3391</v>
      </c>
      <c r="E105" s="3460" t="s">
        <v>3409</v>
      </c>
      <c r="F105" s="3460" t="s">
        <v>3410</v>
      </c>
      <c r="G105" s="3461" t="s">
        <v>3411</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3412</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3413</v>
      </c>
      <c r="D109" s="3450" t="s">
        <v>3414</v>
      </c>
      <c r="E109" s="3450" t="s">
        <v>3415</v>
      </c>
      <c r="F109" s="3460" t="s">
        <v>3416</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3417</v>
      </c>
      <c r="D114" s="3450" t="s">
        <v>3418</v>
      </c>
      <c r="E114" s="3461" t="s">
        <v>3419</v>
      </c>
      <c r="F114" s="3461" t="s">
        <v>3420</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3421</v>
      </c>
      <c r="D116" s="3450" t="s">
        <v>3422</v>
      </c>
      <c r="E116" s="3450" t="s">
        <v>3423</v>
      </c>
      <c r="F116" s="3450" t="s">
        <v>3424</v>
      </c>
      <c r="G116" s="3450" t="s">
        <v>3425</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3426</v>
      </c>
      <c r="D118" s="3463" t="s">
        <v>3427</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8">
        <v>0</v>
      </c>
      <c r="D120" s="3468">
        <v>20</v>
      </c>
      <c r="E120" s="3468">
        <v>40</v>
      </c>
      <c r="F120" s="3468">
        <v>60</v>
      </c>
      <c r="G120" s="3468">
        <v>80</v>
      </c>
      <c r="H120" s="3468">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3413</v>
      </c>
      <c r="D122" s="3450" t="s">
        <v>3414</v>
      </c>
      <c r="E122" s="3450" t="s">
        <v>3415</v>
      </c>
      <c r="F122" s="3460" t="s">
        <v>3416</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C32 E32 G32 I32" xr:uid="{00000000-0002-0000-1700-000006000000}">
      <formula1>住宅建筑类型</formula1>
    </dataValidation>
    <dataValidation type="list" allowBlank="1" showInputMessage="1" showErrorMessage="1" sqref="C34 E34 G34 I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Q11"/>
  <sheetViews>
    <sheetView workbookViewId="0">
      <selection activeCell="T8" sqref="T8"/>
    </sheetView>
  </sheetViews>
  <sheetFormatPr defaultColWidth="8.875" defaultRowHeight="14.25"/>
  <cols>
    <col min="1" max="1" width="5.875" customWidth="1"/>
    <col min="2" max="2" width="21.5" customWidth="1"/>
    <col min="3" max="3" width="7.25" customWidth="1"/>
    <col min="4" max="9" width="5.875" customWidth="1"/>
    <col min="10" max="10" width="8.125" customWidth="1"/>
    <col min="11" max="13" width="5.875" customWidth="1"/>
    <col min="14" max="14" width="5.875" hidden="1" customWidth="1"/>
    <col min="15" max="15" width="8.125" customWidth="1"/>
    <col min="16" max="17" width="14.625" customWidth="1"/>
  </cols>
  <sheetData>
    <row r="1" spans="1:17" ht="30" customHeight="1">
      <c r="A1" s="3472" t="s">
        <v>3443</v>
      </c>
      <c r="B1" s="3472" t="s">
        <v>3444</v>
      </c>
      <c r="C1" s="3472" t="s">
        <v>3445</v>
      </c>
      <c r="D1" s="3472" t="s">
        <v>3446</v>
      </c>
      <c r="E1" s="3472" t="s">
        <v>3447</v>
      </c>
      <c r="F1" s="3472" t="s">
        <v>3448</v>
      </c>
      <c r="G1" s="3472" t="s">
        <v>3449</v>
      </c>
      <c r="H1" s="3472" t="s">
        <v>3450</v>
      </c>
      <c r="I1" s="3472" t="s">
        <v>3451</v>
      </c>
      <c r="J1" s="3472" t="s">
        <v>3452</v>
      </c>
      <c r="K1" s="3472" t="s">
        <v>3453</v>
      </c>
      <c r="L1" s="3472" t="s">
        <v>3454</v>
      </c>
      <c r="M1" s="3472" t="s">
        <v>3455</v>
      </c>
      <c r="N1" s="3472" t="s">
        <v>3456</v>
      </c>
      <c r="O1" s="3472" t="s">
        <v>3457</v>
      </c>
      <c r="P1" s="3472" t="s">
        <v>3458</v>
      </c>
      <c r="Q1" s="3478" t="s">
        <v>3487</v>
      </c>
    </row>
    <row r="2" spans="1:17" ht="16.5" customHeight="1">
      <c r="A2" s="3472">
        <v>1</v>
      </c>
      <c r="B2" s="3472" t="s">
        <v>3472</v>
      </c>
      <c r="C2" s="3472" t="s">
        <v>3473</v>
      </c>
      <c r="D2" s="3472" t="s">
        <v>3459</v>
      </c>
      <c r="E2" s="3472">
        <v>36.17</v>
      </c>
      <c r="F2" s="3472" t="s">
        <v>3384</v>
      </c>
      <c r="G2" s="3472">
        <v>6</v>
      </c>
      <c r="H2" s="3472">
        <v>5</v>
      </c>
      <c r="I2" s="3472" t="s">
        <v>3481</v>
      </c>
      <c r="J2" s="3472" t="s">
        <v>3482</v>
      </c>
      <c r="K2" s="3472" t="s">
        <v>3461</v>
      </c>
      <c r="L2" s="3472">
        <v>1989</v>
      </c>
      <c r="M2" s="3472">
        <v>131269</v>
      </c>
      <c r="N2" s="3472">
        <v>37314</v>
      </c>
      <c r="O2" s="3472">
        <f>ROUND(E2*M2/10000,0)</f>
        <v>475</v>
      </c>
      <c r="P2" s="3473">
        <v>44983</v>
      </c>
      <c r="Q2" s="3473" t="s">
        <v>3489</v>
      </c>
    </row>
    <row r="3" spans="1:17" ht="16.5" customHeight="1">
      <c r="A3" s="3472">
        <v>2</v>
      </c>
      <c r="B3" s="3472" t="s">
        <v>3474</v>
      </c>
      <c r="C3" s="3472" t="s">
        <v>3473</v>
      </c>
      <c r="D3" s="3472" t="s">
        <v>3459</v>
      </c>
      <c r="E3" s="3472">
        <v>36.21</v>
      </c>
      <c r="F3" s="3472" t="s">
        <v>3384</v>
      </c>
      <c r="G3" s="3472">
        <v>6</v>
      </c>
      <c r="H3" s="3472">
        <v>5</v>
      </c>
      <c r="I3" s="3472" t="s">
        <v>3481</v>
      </c>
      <c r="J3" s="3472" t="s">
        <v>3482</v>
      </c>
      <c r="K3" s="3472" t="s">
        <v>3461</v>
      </c>
      <c r="L3" s="3472">
        <v>1984</v>
      </c>
      <c r="M3" s="3472">
        <v>130793</v>
      </c>
      <c r="N3" s="3472">
        <v>33178</v>
      </c>
      <c r="O3" s="3472">
        <f t="shared" ref="O3:O5" si="0">ROUND(E3*M3/10000,0)</f>
        <v>474</v>
      </c>
      <c r="P3" s="3473">
        <v>44978</v>
      </c>
      <c r="Q3" s="3473" t="s">
        <v>3489</v>
      </c>
    </row>
    <row r="4" spans="1:17" ht="16.5" customHeight="1">
      <c r="A4" s="3470">
        <v>3</v>
      </c>
      <c r="B4" s="3470" t="s">
        <v>3475</v>
      </c>
      <c r="C4" s="3470" t="s">
        <v>3473</v>
      </c>
      <c r="D4" s="3470" t="s">
        <v>3459</v>
      </c>
      <c r="E4" s="3470">
        <v>53.95</v>
      </c>
      <c r="F4" s="3470" t="s">
        <v>3384</v>
      </c>
      <c r="G4" s="3470">
        <v>6</v>
      </c>
      <c r="H4" s="3470">
        <v>1</v>
      </c>
      <c r="I4" s="3470" t="s">
        <v>3484</v>
      </c>
      <c r="J4" s="3470" t="s">
        <v>3482</v>
      </c>
      <c r="K4" s="3470" t="s">
        <v>3461</v>
      </c>
      <c r="L4" s="3470">
        <v>1984</v>
      </c>
      <c r="M4" s="3470">
        <v>113994</v>
      </c>
      <c r="N4" s="3470">
        <v>38124</v>
      </c>
      <c r="O4" s="3470">
        <f t="shared" si="0"/>
        <v>615</v>
      </c>
      <c r="P4" s="3471">
        <v>44964</v>
      </c>
      <c r="Q4" s="3471" t="s">
        <v>3486</v>
      </c>
    </row>
    <row r="5" spans="1:17" ht="16.5" customHeight="1">
      <c r="A5" s="3472">
        <v>4</v>
      </c>
      <c r="B5" s="3472" t="s">
        <v>3477</v>
      </c>
      <c r="C5" s="3472" t="s">
        <v>3473</v>
      </c>
      <c r="D5" s="3472" t="s">
        <v>3459</v>
      </c>
      <c r="E5" s="3472">
        <v>54.68</v>
      </c>
      <c r="F5" s="3472" t="s">
        <v>3384</v>
      </c>
      <c r="G5" s="3472">
        <v>6</v>
      </c>
      <c r="H5" s="3472">
        <v>6</v>
      </c>
      <c r="I5" s="3472" t="s">
        <v>3484</v>
      </c>
      <c r="J5" s="3472" t="s">
        <v>3482</v>
      </c>
      <c r="K5" s="3472" t="s">
        <v>3461</v>
      </c>
      <c r="L5" s="3472">
        <v>1989</v>
      </c>
      <c r="M5" s="3472">
        <v>100402</v>
      </c>
      <c r="N5" s="3472"/>
      <c r="O5" s="3472">
        <f t="shared" si="0"/>
        <v>549</v>
      </c>
      <c r="P5" s="3473">
        <v>44955</v>
      </c>
      <c r="Q5" s="3473" t="s">
        <v>3488</v>
      </c>
    </row>
    <row r="6" spans="1:17" ht="16.5" customHeight="1">
      <c r="A6" s="3470">
        <v>5</v>
      </c>
      <c r="B6" s="3470" t="s">
        <v>3478</v>
      </c>
      <c r="C6" s="3470" t="s">
        <v>3473</v>
      </c>
      <c r="D6" s="3470" t="s">
        <v>3459</v>
      </c>
      <c r="E6" s="3470">
        <v>47.35</v>
      </c>
      <c r="F6" s="3470" t="s">
        <v>3384</v>
      </c>
      <c r="G6" s="3470">
        <v>6</v>
      </c>
      <c r="H6" s="3470">
        <v>1</v>
      </c>
      <c r="I6" s="3470" t="s">
        <v>3481</v>
      </c>
      <c r="J6" s="3470" t="s">
        <v>3482</v>
      </c>
      <c r="K6" s="3470" t="s">
        <v>3461</v>
      </c>
      <c r="L6" s="3470">
        <v>1984</v>
      </c>
      <c r="M6" s="3470">
        <v>116579</v>
      </c>
      <c r="N6" s="3470"/>
      <c r="O6" s="3470">
        <f t="shared" ref="O6" si="1">ROUND(E6*M6/10000,0)</f>
        <v>552</v>
      </c>
      <c r="P6" s="3471">
        <v>44918</v>
      </c>
      <c r="Q6" s="3471" t="s">
        <v>3486</v>
      </c>
    </row>
    <row r="7" spans="1:17" ht="16.5" customHeight="1">
      <c r="A7" s="3470">
        <v>6</v>
      </c>
      <c r="B7" s="3470" t="s">
        <v>3479</v>
      </c>
      <c r="C7" s="3470" t="s">
        <v>3473</v>
      </c>
      <c r="D7" s="3470" t="s">
        <v>3459</v>
      </c>
      <c r="E7" s="3470">
        <v>36.21</v>
      </c>
      <c r="F7" s="3470" t="s">
        <v>3384</v>
      </c>
      <c r="G7" s="3470">
        <v>6</v>
      </c>
      <c r="H7" s="3470">
        <v>4</v>
      </c>
      <c r="I7" s="3470" t="s">
        <v>3481</v>
      </c>
      <c r="J7" s="3470" t="s">
        <v>3482</v>
      </c>
      <c r="K7" s="3470" t="s">
        <v>3461</v>
      </c>
      <c r="L7" s="3470">
        <v>1984</v>
      </c>
      <c r="M7" s="3470">
        <v>124275</v>
      </c>
      <c r="N7" s="3470"/>
      <c r="O7" s="3470">
        <f t="shared" ref="O7" si="2">ROUND(E7*M7/10000,0)</f>
        <v>450</v>
      </c>
      <c r="P7" s="3471">
        <v>44883</v>
      </c>
      <c r="Q7" s="3471" t="s">
        <v>3489</v>
      </c>
    </row>
    <row r="8" spans="1:17" ht="16.5" customHeight="1">
      <c r="A8" s="3472">
        <v>7</v>
      </c>
      <c r="B8" s="3472" t="s">
        <v>3480</v>
      </c>
      <c r="C8" s="3472" t="s">
        <v>3473</v>
      </c>
      <c r="D8" s="3472" t="s">
        <v>3459</v>
      </c>
      <c r="E8" s="3472">
        <v>36.17</v>
      </c>
      <c r="F8" s="3472" t="s">
        <v>3384</v>
      </c>
      <c r="G8" s="3472">
        <v>6</v>
      </c>
      <c r="H8" s="3472">
        <v>2</v>
      </c>
      <c r="I8" s="3472" t="s">
        <v>3481</v>
      </c>
      <c r="J8" s="3472" t="s">
        <v>3482</v>
      </c>
      <c r="K8" s="3472" t="s">
        <v>3461</v>
      </c>
      <c r="L8" s="3472">
        <v>1989</v>
      </c>
      <c r="M8" s="3472">
        <v>131877</v>
      </c>
      <c r="N8" s="3472"/>
      <c r="O8" s="3472">
        <f t="shared" ref="O8" si="3">ROUND(E8*M8/10000,0)</f>
        <v>477</v>
      </c>
      <c r="P8" s="3473">
        <v>44846</v>
      </c>
      <c r="Q8" s="3473" t="s">
        <v>3489</v>
      </c>
    </row>
    <row r="9" spans="1:17" ht="16.5" customHeight="1">
      <c r="A9" s="3472">
        <v>8</v>
      </c>
      <c r="B9" s="3472" t="s">
        <v>3476</v>
      </c>
      <c r="C9" s="3472" t="s">
        <v>3473</v>
      </c>
      <c r="D9" s="3472" t="s">
        <v>3459</v>
      </c>
      <c r="E9" s="3472">
        <v>44.52</v>
      </c>
      <c r="F9" s="3472" t="s">
        <v>3384</v>
      </c>
      <c r="G9" s="3472">
        <v>18</v>
      </c>
      <c r="H9" s="3472">
        <v>1</v>
      </c>
      <c r="I9" s="3472" t="s">
        <v>3481</v>
      </c>
      <c r="J9" s="3472" t="s">
        <v>3485</v>
      </c>
      <c r="K9" s="3472" t="s">
        <v>3461</v>
      </c>
      <c r="L9" s="3472">
        <v>1990</v>
      </c>
      <c r="M9" s="3472">
        <v>108670</v>
      </c>
      <c r="N9" s="3472">
        <v>38957</v>
      </c>
      <c r="O9" s="3472">
        <f>ROUND(E9*M9/10000,0)</f>
        <v>484</v>
      </c>
      <c r="P9" s="3473">
        <v>44969</v>
      </c>
      <c r="Q9" s="3473" t="s">
        <v>3489</v>
      </c>
    </row>
    <row r="10" spans="1:17" ht="16.5" customHeight="1"/>
    <row r="11" spans="1:17" ht="16.5" customHeight="1"/>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4.25"/>
  <cols>
    <col min="1" max="1" width="25" style="2510" customWidth="1"/>
    <col min="2" max="9" width="15.625" style="2510" customWidth="1"/>
    <col min="10" max="16384" width="9" style="2510"/>
  </cols>
  <sheetData>
    <row r="1" spans="1:11" ht="16.5">
      <c r="A1" s="2509" t="s">
        <v>665</v>
      </c>
      <c r="B1" s="2509">
        <f>'数据-汇总表'!E19</f>
        <v>56.8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45131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627</v>
      </c>
      <c r="C5" s="2509" t="e">
        <f ca="1">IF(B5=D14,结果表!H102,ROUND(B5*10000/$B$1,0))</f>
        <v>#REF!</v>
      </c>
      <c r="D5" s="2509" t="e">
        <f ca="1">ROUND(B5*10000/$B$2,0)</f>
        <v>#DIV/0!</v>
      </c>
      <c r="E5" s="2683"/>
      <c r="F5" s="2684"/>
      <c r="G5" s="2684"/>
      <c r="H5" s="2685"/>
      <c r="I5" s="2685"/>
      <c r="J5" s="2685"/>
      <c r="K5" s="2685"/>
    </row>
    <row r="6" spans="1:11" ht="16.5">
      <c r="A6" s="2509" t="s">
        <v>656</v>
      </c>
      <c r="B6" s="2509">
        <f>SUM(G14:G23)</f>
        <v>0</v>
      </c>
      <c r="C6" s="2509" t="e">
        <f ca="1">IF(B6=G14,结果表!H108,ROUND(B6*10000/$B$1,0))</f>
        <v>#REF!</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56.8</v>
      </c>
      <c r="C14" s="2515"/>
      <c r="D14" s="2515">
        <f ca="1">结果表!G19</f>
        <v>627</v>
      </c>
      <c r="E14" s="2515">
        <f ca="1">ROUND(D14*10000/B14,0)</f>
        <v>110387</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27" t="s">
        <v>2320</v>
      </c>
      <c r="K2" s="3728"/>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29" t="s">
        <v>2330</v>
      </c>
      <c r="K3" s="3730"/>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29" t="s">
        <v>2332</v>
      </c>
      <c r="K4" s="3730"/>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35" t="s">
        <v>2336</v>
      </c>
      <c r="B6" s="3736"/>
      <c r="C6" s="3737"/>
      <c r="D6" s="2867"/>
      <c r="E6" s="2868"/>
      <c r="F6" s="2869"/>
      <c r="G6" s="2870"/>
      <c r="H6" s="2845"/>
      <c r="I6" s="2846"/>
      <c r="J6" s="3721">
        <v>1</v>
      </c>
      <c r="K6" s="3722"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1"/>
      <c r="K7" s="3723"/>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38" t="s">
        <v>2350</v>
      </c>
      <c r="C8" s="3739"/>
      <c r="D8" s="2886" t="s">
        <v>2351</v>
      </c>
      <c r="E8" s="2887" t="s">
        <v>2352</v>
      </c>
      <c r="F8" s="2888" t="s">
        <v>2353</v>
      </c>
      <c r="G8" s="2889"/>
      <c r="H8" s="2845"/>
      <c r="I8" s="2846"/>
      <c r="J8" s="3721"/>
      <c r="K8" s="3723"/>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38" t="s">
        <v>2356</v>
      </c>
      <c r="C9" s="3739"/>
      <c r="D9" s="2886">
        <f>ROUND(D6*E9,0)</f>
        <v>0</v>
      </c>
      <c r="E9" s="2890"/>
      <c r="F9" s="2891" t="s">
        <v>2357</v>
      </c>
      <c r="G9" s="2870"/>
      <c r="H9" s="2845"/>
      <c r="I9" s="2846"/>
      <c r="J9" s="3721"/>
      <c r="K9" s="3723"/>
      <c r="L9" s="2880" t="s">
        <v>2358</v>
      </c>
      <c r="M9" s="2881"/>
      <c r="N9" s="2857"/>
      <c r="O9" s="2882"/>
      <c r="P9" s="2882"/>
      <c r="Q9" s="2883">
        <v>365</v>
      </c>
      <c r="R9" s="2884">
        <f t="shared" si="0"/>
        <v>0</v>
      </c>
      <c r="S9" s="2838"/>
      <c r="T9" s="2838"/>
      <c r="U9" s="2838"/>
      <c r="V9" s="2846"/>
    </row>
    <row r="10" spans="1:22" s="2850" customFormat="1" ht="13.35" customHeight="1">
      <c r="A10" s="2885">
        <v>2</v>
      </c>
      <c r="B10" s="3738" t="s">
        <v>2359</v>
      </c>
      <c r="C10" s="3739"/>
      <c r="D10" s="2886">
        <f>ROUND(D6*E10,0)</f>
        <v>0</v>
      </c>
      <c r="E10" s="2890"/>
      <c r="F10" s="2891" t="s">
        <v>2360</v>
      </c>
      <c r="G10" s="2870"/>
      <c r="H10" s="2845"/>
      <c r="I10" s="2846"/>
      <c r="J10" s="3721"/>
      <c r="K10" s="3723"/>
      <c r="L10" s="2880" t="s">
        <v>2361</v>
      </c>
      <c r="M10" s="2881"/>
      <c r="N10" s="2857"/>
      <c r="O10" s="2882"/>
      <c r="P10" s="2882"/>
      <c r="Q10" s="2883">
        <v>365</v>
      </c>
      <c r="R10" s="2884">
        <f t="shared" si="0"/>
        <v>0</v>
      </c>
      <c r="S10" s="2838"/>
      <c r="T10" s="2838"/>
      <c r="U10" s="2838"/>
      <c r="V10" s="2846"/>
    </row>
    <row r="11" spans="1:22" s="2850" customFormat="1" ht="13.35" customHeight="1">
      <c r="A11" s="2885">
        <v>3</v>
      </c>
      <c r="B11" s="3738" t="s">
        <v>2362</v>
      </c>
      <c r="C11" s="3739"/>
      <c r="D11" s="2886">
        <f>D12+D14+D15+D16</f>
        <v>0</v>
      </c>
      <c r="E11" s="2892" t="e">
        <f>D11/D6</f>
        <v>#DIV/0!</v>
      </c>
      <c r="F11" s="2888"/>
      <c r="G11" s="2889"/>
      <c r="H11" s="2845"/>
      <c r="I11" s="2846"/>
      <c r="J11" s="3721"/>
      <c r="K11" s="3723"/>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1" t="s">
        <v>2365</v>
      </c>
      <c r="C12" s="3732"/>
      <c r="D12" s="2894">
        <f>ROUND(D13*1.2%*(1-30%),0)</f>
        <v>0</v>
      </c>
      <c r="E12" s="2895">
        <v>1.2E-2</v>
      </c>
      <c r="F12" s="2888" t="s">
        <v>2366</v>
      </c>
      <c r="G12" s="2889"/>
      <c r="H12" s="2845"/>
      <c r="I12" s="2846"/>
      <c r="J12" s="3721"/>
      <c r="K12" s="3723"/>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1"/>
      <c r="K13" s="3723"/>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1" t="s">
        <v>2371</v>
      </c>
      <c r="C14" s="3732"/>
      <c r="D14" s="2894">
        <f>ROUND(E14*B5/10000,0)</f>
        <v>0</v>
      </c>
      <c r="E14" s="2883"/>
      <c r="F14" s="2888" t="s">
        <v>2372</v>
      </c>
      <c r="G14" s="2889"/>
      <c r="H14" s="2845"/>
      <c r="I14" s="2846"/>
      <c r="J14" s="3721"/>
      <c r="K14" s="3724"/>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1" t="s">
        <v>2375</v>
      </c>
      <c r="C15" s="3732"/>
      <c r="D15" s="2894">
        <f>ROUND(D6*E15,0)</f>
        <v>0</v>
      </c>
      <c r="E15" s="2895">
        <v>5.5E-2</v>
      </c>
      <c r="F15" s="2888" t="s">
        <v>2376</v>
      </c>
      <c r="G15" s="2870"/>
      <c r="H15" s="2845"/>
      <c r="I15" s="2846"/>
      <c r="J15" s="3721">
        <v>2</v>
      </c>
      <c r="K15" s="3722"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1" t="s">
        <v>2384</v>
      </c>
      <c r="C16" s="3732"/>
      <c r="D16" s="2905">
        <f>D6*E16</f>
        <v>0</v>
      </c>
      <c r="E16" s="2906"/>
      <c r="F16" s="2891" t="s">
        <v>2385</v>
      </c>
      <c r="G16" s="2870"/>
      <c r="H16" s="2845"/>
      <c r="I16" s="2846"/>
      <c r="J16" s="3721"/>
      <c r="K16" s="3723"/>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3" t="s">
        <v>2387</v>
      </c>
      <c r="C17" s="3734"/>
      <c r="D17" s="2908">
        <f>ROUND(D6*E17,0)</f>
        <v>0</v>
      </c>
      <c r="E17" s="2909"/>
      <c r="F17" s="2910" t="s">
        <v>2388</v>
      </c>
      <c r="G17" s="2870"/>
      <c r="H17" s="2845"/>
      <c r="I17" s="2846"/>
      <c r="J17" s="3721"/>
      <c r="K17" s="3723"/>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1"/>
      <c r="K18" s="3723"/>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1"/>
      <c r="K19" s="3724"/>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1">
        <v>3</v>
      </c>
      <c r="K20" s="3722"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1"/>
      <c r="K21" s="3723"/>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1"/>
      <c r="K22" s="3723"/>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1"/>
      <c r="K23" s="3723"/>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1"/>
      <c r="K24" s="3724"/>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2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26"/>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27" t="s">
        <v>2320</v>
      </c>
      <c r="K32" s="3728"/>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29" t="s">
        <v>2330</v>
      </c>
      <c r="K33" s="3730"/>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29" t="s">
        <v>2332</v>
      </c>
      <c r="K34" s="3730"/>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1">
        <v>1</v>
      </c>
      <c r="K36" s="3722"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1"/>
      <c r="K40" s="3724"/>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25">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26"/>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356.37020000000001</v>
      </c>
      <c r="C2" s="1871" t="s">
        <v>1651</v>
      </c>
      <c r="D2" s="1872" t="s">
        <v>1652</v>
      </c>
      <c r="E2" s="2604">
        <f>SUM(E6:E13)</f>
        <v>56.8</v>
      </c>
      <c r="F2" s="2704"/>
      <c r="G2" s="1488"/>
      <c r="H2" s="1488"/>
      <c r="I2" s="1488"/>
      <c r="J2" s="1488"/>
      <c r="K2" s="1488"/>
      <c r="L2" s="1488"/>
      <c r="M2" s="1488"/>
      <c r="N2" s="1488"/>
      <c r="O2" s="1488"/>
      <c r="P2" s="1488"/>
      <c r="Q2" s="1488"/>
      <c r="R2" s="1488"/>
      <c r="S2" s="1488"/>
    </row>
    <row r="3" spans="1:22" ht="15.75">
      <c r="A3" s="1869" t="s">
        <v>686</v>
      </c>
      <c r="B3" s="2598">
        <f ca="1">ROUND(B2*10000/E2,0)</f>
        <v>62741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40" t="s">
        <v>1654</v>
      </c>
      <c r="C5" s="3741"/>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356.37020000000001</v>
      </c>
      <c r="C6" s="1871" t="s">
        <v>1651</v>
      </c>
      <c r="D6" s="2706"/>
      <c r="E6" s="2603">
        <f>IF(OR(A6=0,F6="否"),0,'数据-取费表'!K6+'数据-取费表'!S6)</f>
        <v>56.8</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56.8</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707"/>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707"/>
      <c r="AC6" s="3690"/>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7"/>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7"/>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5" t="s">
        <v>1691</v>
      </c>
      <c r="Q15" s="1351" t="str">
        <f t="shared" si="6"/>
        <v>商业繁华度</v>
      </c>
      <c r="R15" s="705" t="s">
        <v>14</v>
      </c>
      <c r="S15" s="706">
        <f t="shared" si="0"/>
        <v>100</v>
      </c>
      <c r="T15" s="705" t="s">
        <v>14</v>
      </c>
      <c r="U15" s="706">
        <f t="shared" si="1"/>
        <v>100</v>
      </c>
      <c r="V15" s="705" t="s">
        <v>14</v>
      </c>
      <c r="W15" s="706">
        <f t="shared" si="2"/>
        <v>100</v>
      </c>
      <c r="X15" s="1354"/>
      <c r="Y15" s="367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86"/>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86"/>
      <c r="Q18" s="1351"/>
      <c r="R18" s="705"/>
      <c r="S18" s="706"/>
      <c r="T18" s="705"/>
      <c r="U18" s="706"/>
      <c r="V18" s="705"/>
      <c r="W18" s="706"/>
      <c r="X18" s="1354"/>
      <c r="Y18" s="367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86"/>
      <c r="Q20" s="1351"/>
      <c r="R20" s="705"/>
      <c r="S20" s="706"/>
      <c r="T20" s="705"/>
      <c r="U20" s="706"/>
      <c r="V20" s="705"/>
      <c r="W20" s="706"/>
      <c r="X20" s="1354"/>
      <c r="Y20" s="367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86"/>
      <c r="Q22" s="1351"/>
      <c r="R22" s="705"/>
      <c r="S22" s="706"/>
      <c r="T22" s="705"/>
      <c r="U22" s="706"/>
      <c r="V22" s="705"/>
      <c r="W22" s="706"/>
      <c r="X22" s="1354"/>
      <c r="Y22" s="3679"/>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6"/>
      <c r="Q23" s="1351" t="str">
        <f>B23</f>
        <v>自然及人文环境</v>
      </c>
      <c r="R23" s="705" t="s">
        <v>14</v>
      </c>
      <c r="S23" s="706">
        <f>F23</f>
        <v>100</v>
      </c>
      <c r="T23" s="705" t="s">
        <v>14</v>
      </c>
      <c r="U23" s="706">
        <f>H23</f>
        <v>100</v>
      </c>
      <c r="V23" s="705" t="s">
        <v>14</v>
      </c>
      <c r="W23" s="706">
        <f>J23</f>
        <v>100</v>
      </c>
      <c r="X23" s="1354"/>
      <c r="Y23" s="367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86"/>
      <c r="Q24" s="1351"/>
      <c r="R24" s="705"/>
      <c r="S24" s="706"/>
      <c r="T24" s="705"/>
      <c r="U24" s="706"/>
      <c r="V24" s="705"/>
      <c r="W24" s="706"/>
      <c r="X24" s="1354"/>
      <c r="Y24" s="367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6"/>
      <c r="Q25" s="1351" t="str">
        <f t="shared" ref="Q25:Q46" si="11">B25</f>
        <v>临街状况</v>
      </c>
      <c r="R25" s="705" t="s">
        <v>14</v>
      </c>
      <c r="S25" s="706">
        <f>F25</f>
        <v>100</v>
      </c>
      <c r="T25" s="705" t="s">
        <v>14</v>
      </c>
      <c r="U25" s="706">
        <f>H25</f>
        <v>100</v>
      </c>
      <c r="V25" s="705" t="s">
        <v>14</v>
      </c>
      <c r="W25" s="706">
        <f>J25</f>
        <v>100</v>
      </c>
      <c r="X25" s="1354"/>
      <c r="Y25" s="367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6"/>
      <c r="Q26" s="1351" t="str">
        <f t="shared" si="11"/>
        <v>平面位置/可视性</v>
      </c>
      <c r="R26" s="705" t="s">
        <v>14</v>
      </c>
      <c r="S26" s="706">
        <f>F26</f>
        <v>100</v>
      </c>
      <c r="T26" s="705" t="s">
        <v>14</v>
      </c>
      <c r="U26" s="706">
        <f>H26</f>
        <v>100</v>
      </c>
      <c r="V26" s="705" t="s">
        <v>14</v>
      </c>
      <c r="W26" s="706">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6"/>
      <c r="Q27" s="1342" t="str">
        <f t="shared" si="11"/>
        <v>人流量</v>
      </c>
      <c r="R27" s="701" t="s">
        <v>14</v>
      </c>
      <c r="S27" s="702">
        <f>F27</f>
        <v>100</v>
      </c>
      <c r="T27" s="701" t="s">
        <v>14</v>
      </c>
      <c r="U27" s="702">
        <f>H27</f>
        <v>100</v>
      </c>
      <c r="V27" s="701" t="s">
        <v>14</v>
      </c>
      <c r="W27" s="702">
        <f>J27</f>
        <v>100</v>
      </c>
      <c r="X27" s="703"/>
      <c r="Y27" s="367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6"/>
      <c r="Q29" s="1351">
        <f t="shared" si="11"/>
        <v>111</v>
      </c>
      <c r="R29" s="705" t="s">
        <v>14</v>
      </c>
      <c r="S29" s="706">
        <f t="shared" si="12"/>
        <v>100</v>
      </c>
      <c r="T29" s="705" t="s">
        <v>14</v>
      </c>
      <c r="U29" s="706">
        <f t="shared" si="13"/>
        <v>100</v>
      </c>
      <c r="V29" s="705" t="s">
        <v>14</v>
      </c>
      <c r="W29" s="706">
        <f t="shared" si="14"/>
        <v>100</v>
      </c>
      <c r="X29" s="1354"/>
      <c r="Y29" s="367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0" t="s">
        <v>1696</v>
      </c>
      <c r="Q32" s="1351" t="str">
        <f t="shared" si="11"/>
        <v>商业类型</v>
      </c>
      <c r="R32" s="705" t="s">
        <v>14</v>
      </c>
      <c r="S32" s="706">
        <f t="shared" si="12"/>
        <v>100</v>
      </c>
      <c r="T32" s="705" t="s">
        <v>14</v>
      </c>
      <c r="U32" s="706">
        <f t="shared" si="13"/>
        <v>100</v>
      </c>
      <c r="V32" s="705" t="s">
        <v>14</v>
      </c>
      <c r="W32" s="706">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81"/>
      <c r="Q34" s="1351" t="str">
        <f t="shared" si="11"/>
        <v>建筑结构</v>
      </c>
      <c r="R34" s="705" t="s">
        <v>14</v>
      </c>
      <c r="S34" s="706">
        <f t="shared" si="12"/>
        <v>100</v>
      </c>
      <c r="T34" s="705" t="s">
        <v>14</v>
      </c>
      <c r="U34" s="706">
        <f t="shared" si="13"/>
        <v>100</v>
      </c>
      <c r="V34" s="705" t="s">
        <v>14</v>
      </c>
      <c r="W34" s="706">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1"/>
      <c r="Q35" s="1351" t="str">
        <f t="shared" si="11"/>
        <v>公共部分装修</v>
      </c>
      <c r="R35" s="705" t="s">
        <v>14</v>
      </c>
      <c r="S35" s="706">
        <f t="shared" si="12"/>
        <v>100</v>
      </c>
      <c r="T35" s="705" t="s">
        <v>14</v>
      </c>
      <c r="U35" s="706">
        <f t="shared" si="13"/>
        <v>100</v>
      </c>
      <c r="V35" s="705" t="s">
        <v>14</v>
      </c>
      <c r="W35" s="706">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1"/>
      <c r="Q36" s="1351" t="str">
        <f t="shared" si="11"/>
        <v>成新度</v>
      </c>
      <c r="R36" s="705" t="s">
        <v>14</v>
      </c>
      <c r="S36" s="706" t="e">
        <f t="shared" si="12"/>
        <v>#N/A</v>
      </c>
      <c r="T36" s="705" t="s">
        <v>14</v>
      </c>
      <c r="U36" s="706" t="e">
        <f t="shared" si="13"/>
        <v>#N/A</v>
      </c>
      <c r="V36" s="705" t="s">
        <v>14</v>
      </c>
      <c r="W36" s="706" t="e">
        <f t="shared" si="14"/>
        <v>#N/A</v>
      </c>
      <c r="X36" s="1354"/>
      <c r="Y36" s="368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1"/>
      <c r="Q37" s="1342"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1" t="s">
        <v>1696</v>
      </c>
      <c r="Q38" s="1351" t="str">
        <f t="shared" si="11"/>
        <v>业态</v>
      </c>
      <c r="R38" s="705" t="s">
        <v>14</v>
      </c>
      <c r="S38" s="706">
        <f t="shared" si="12"/>
        <v>100</v>
      </c>
      <c r="T38" s="705" t="s">
        <v>14</v>
      </c>
      <c r="U38" s="706">
        <f t="shared" si="13"/>
        <v>100</v>
      </c>
      <c r="V38" s="705" t="s">
        <v>14</v>
      </c>
      <c r="W38" s="706">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1"/>
      <c r="Q39" s="1351" t="str">
        <f t="shared" si="11"/>
        <v>层高</v>
      </c>
      <c r="R39" s="705" t="s">
        <v>14</v>
      </c>
      <c r="S39" s="706">
        <f t="shared" si="12"/>
        <v>100</v>
      </c>
      <c r="T39" s="705" t="s">
        <v>14</v>
      </c>
      <c r="U39" s="706">
        <f t="shared" si="13"/>
        <v>100</v>
      </c>
      <c r="V39" s="705" t="s">
        <v>14</v>
      </c>
      <c r="W39" s="706">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1"/>
      <c r="Q40" s="1351" t="str">
        <f t="shared" si="11"/>
        <v>单套建筑面积</v>
      </c>
      <c r="R40" s="705" t="s">
        <v>14</v>
      </c>
      <c r="S40" s="706">
        <f t="shared" si="12"/>
        <v>100</v>
      </c>
      <c r="T40" s="705" t="s">
        <v>14</v>
      </c>
      <c r="U40" s="706">
        <f t="shared" si="13"/>
        <v>100</v>
      </c>
      <c r="V40" s="705" t="s">
        <v>14</v>
      </c>
      <c r="W40" s="706">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1"/>
      <c r="Q42" s="1351" t="str">
        <f t="shared" si="11"/>
        <v>内部装修</v>
      </c>
      <c r="R42" s="705" t="s">
        <v>14</v>
      </c>
      <c r="S42" s="706">
        <f t="shared" si="12"/>
        <v>100</v>
      </c>
      <c r="T42" s="705" t="s">
        <v>14</v>
      </c>
      <c r="U42" s="706">
        <f t="shared" si="13"/>
        <v>100</v>
      </c>
      <c r="V42" s="705" t="s">
        <v>14</v>
      </c>
      <c r="W42" s="706">
        <f t="shared" si="14"/>
        <v>100</v>
      </c>
      <c r="X42" s="1354"/>
      <c r="Y42" s="368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1"/>
      <c r="Q43" s="1351" t="str">
        <f t="shared" si="11"/>
        <v>内部装修维护情况</v>
      </c>
      <c r="R43" s="705" t="s">
        <v>14</v>
      </c>
      <c r="S43" s="706">
        <f t="shared" si="12"/>
        <v>100</v>
      </c>
      <c r="T43" s="705" t="s">
        <v>14</v>
      </c>
      <c r="U43" s="706">
        <f t="shared" si="13"/>
        <v>100</v>
      </c>
      <c r="V43" s="705" t="s">
        <v>14</v>
      </c>
      <c r="W43" s="706">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1"/>
      <c r="Q44" s="1342">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1"/>
      <c r="Q45" s="1351">
        <f t="shared" si="11"/>
        <v>111</v>
      </c>
      <c r="R45" s="705" t="s">
        <v>14</v>
      </c>
      <c r="S45" s="706">
        <f t="shared" si="12"/>
        <v>100</v>
      </c>
      <c r="T45" s="705" t="s">
        <v>14</v>
      </c>
      <c r="U45" s="706">
        <f t="shared" si="13"/>
        <v>100</v>
      </c>
      <c r="V45" s="705" t="s">
        <v>14</v>
      </c>
      <c r="W45" s="706">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2"/>
      <c r="Q46" s="1351">
        <f t="shared" si="11"/>
        <v>111</v>
      </c>
      <c r="R46" s="705" t="s">
        <v>14</v>
      </c>
      <c r="S46" s="706">
        <f t="shared" si="12"/>
        <v>100</v>
      </c>
      <c r="T46" s="705" t="s">
        <v>14</v>
      </c>
      <c r="U46" s="706">
        <f t="shared" si="13"/>
        <v>100</v>
      </c>
      <c r="V46" s="705" t="s">
        <v>14</v>
      </c>
      <c r="W46" s="706">
        <f t="shared" si="14"/>
        <v>100</v>
      </c>
      <c r="X46" s="1354"/>
      <c r="Y46" s="368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48" t="s">
        <v>1775</v>
      </c>
      <c r="Q4" s="3749"/>
      <c r="R4" s="3752" t="s">
        <v>1771</v>
      </c>
      <c r="S4" s="3753"/>
      <c r="T4" s="3752" t="s">
        <v>1772</v>
      </c>
      <c r="U4" s="3753"/>
      <c r="V4" s="3754" t="s">
        <v>1773</v>
      </c>
      <c r="W4" s="3754"/>
      <c r="X4" s="1955"/>
      <c r="Y4" s="3752" t="s">
        <v>1775</v>
      </c>
      <c r="Z4" s="3753"/>
      <c r="AA4" s="3756" t="s">
        <v>1771</v>
      </c>
      <c r="AB4" s="3756" t="s">
        <v>1772</v>
      </c>
      <c r="AC4" s="3745" t="s">
        <v>1773</v>
      </c>
    </row>
    <row r="5" spans="1:29" ht="15">
      <c r="A5" s="358"/>
      <c r="B5" s="359"/>
      <c r="C5" s="3710" t="s">
        <v>1673</v>
      </c>
      <c r="D5" s="3711"/>
      <c r="E5" s="3719" t="s">
        <v>1674</v>
      </c>
      <c r="F5" s="3720"/>
      <c r="G5" s="3710" t="s">
        <v>1675</v>
      </c>
      <c r="H5" s="3711"/>
      <c r="I5" s="3710" t="s">
        <v>1676</v>
      </c>
      <c r="J5" s="3711"/>
      <c r="K5" s="559"/>
      <c r="L5" s="2712"/>
      <c r="M5" s="2713"/>
      <c r="N5" s="2713"/>
      <c r="O5" s="2713"/>
      <c r="P5" s="3750"/>
      <c r="Q5" s="3698"/>
      <c r="R5" s="3703"/>
      <c r="S5" s="3704"/>
      <c r="T5" s="3703"/>
      <c r="U5" s="3704"/>
      <c r="V5" s="3707"/>
      <c r="W5" s="3707"/>
      <c r="X5" s="1354"/>
      <c r="Y5" s="3703"/>
      <c r="Z5" s="3704"/>
      <c r="AA5" s="3689"/>
      <c r="AB5" s="3689"/>
      <c r="AC5" s="3746"/>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751"/>
      <c r="Q6" s="3700"/>
      <c r="R6" s="3703"/>
      <c r="S6" s="3704"/>
      <c r="T6" s="3705"/>
      <c r="U6" s="3706"/>
      <c r="V6" s="3707"/>
      <c r="W6" s="3707"/>
      <c r="X6" s="1354"/>
      <c r="Y6" s="3705"/>
      <c r="Z6" s="3706"/>
      <c r="AA6" s="3690"/>
      <c r="AB6" s="3690"/>
      <c r="AC6" s="3747"/>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5"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5"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1342"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87"/>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5" t="s">
        <v>1691</v>
      </c>
      <c r="Q15" s="1351" t="str">
        <f t="shared" si="6"/>
        <v>办公集聚程度</v>
      </c>
      <c r="R15" s="705" t="s">
        <v>14</v>
      </c>
      <c r="S15" s="706">
        <f t="shared" si="0"/>
        <v>100</v>
      </c>
      <c r="T15" s="705" t="s">
        <v>14</v>
      </c>
      <c r="U15" s="706">
        <f t="shared" si="1"/>
        <v>100</v>
      </c>
      <c r="V15" s="705" t="s">
        <v>14</v>
      </c>
      <c r="W15" s="706">
        <f t="shared" si="2"/>
        <v>100</v>
      </c>
      <c r="X15" s="1354"/>
      <c r="Y15" s="3678"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686"/>
      <c r="Q16" s="1351"/>
      <c r="R16" s="705"/>
      <c r="S16" s="706"/>
      <c r="T16" s="705"/>
      <c r="U16" s="706"/>
      <c r="V16" s="705"/>
      <c r="W16" s="706"/>
      <c r="X16" s="1354"/>
      <c r="Y16" s="3679"/>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686"/>
      <c r="Q18" s="1351"/>
      <c r="R18" s="705"/>
      <c r="S18" s="706"/>
      <c r="T18" s="705"/>
      <c r="U18" s="706"/>
      <c r="V18" s="705"/>
      <c r="W18" s="706"/>
      <c r="X18" s="1354"/>
      <c r="Y18" s="3679"/>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686"/>
      <c r="Q20" s="1351"/>
      <c r="R20" s="705"/>
      <c r="S20" s="706"/>
      <c r="T20" s="705"/>
      <c r="U20" s="706"/>
      <c r="V20" s="705"/>
      <c r="W20" s="706"/>
      <c r="X20" s="1354"/>
      <c r="Y20" s="3679"/>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686"/>
      <c r="Q22" s="1351"/>
      <c r="R22" s="705"/>
      <c r="S22" s="706"/>
      <c r="T22" s="705"/>
      <c r="U22" s="706"/>
      <c r="V22" s="705"/>
      <c r="W22" s="706"/>
      <c r="X22" s="1354"/>
      <c r="Y22" s="3679"/>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6"/>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686"/>
      <c r="Q24" s="1351"/>
      <c r="R24" s="705"/>
      <c r="S24" s="706"/>
      <c r="T24" s="705"/>
      <c r="U24" s="706"/>
      <c r="V24" s="705"/>
      <c r="W24" s="706"/>
      <c r="X24" s="1354"/>
      <c r="Y24" s="3679"/>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6"/>
      <c r="Q25" s="1351" t="str">
        <f>B25</f>
        <v>毗邻道路的类型与等级</v>
      </c>
      <c r="R25" s="705" t="s">
        <v>14</v>
      </c>
      <c r="S25" s="706">
        <f>F25</f>
        <v>100</v>
      </c>
      <c r="T25" s="705" t="s">
        <v>14</v>
      </c>
      <c r="U25" s="706">
        <f>H25</f>
        <v>100</v>
      </c>
      <c r="V25" s="705" t="s">
        <v>14</v>
      </c>
      <c r="W25" s="706">
        <f>J25</f>
        <v>100</v>
      </c>
      <c r="X25" s="1354"/>
      <c r="Y25" s="3679"/>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686"/>
      <c r="Q26" s="1351"/>
      <c r="R26" s="705"/>
      <c r="S26" s="706"/>
      <c r="T26" s="705"/>
      <c r="U26" s="706"/>
      <c r="V26" s="705"/>
      <c r="W26" s="706"/>
      <c r="X26" s="1354"/>
      <c r="Y26" s="3679"/>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6"/>
      <c r="Q27" s="1351" t="str">
        <f t="shared" ref="Q27:Q47" si="11">B27</f>
        <v>楼层</v>
      </c>
      <c r="R27" s="705" t="s">
        <v>14</v>
      </c>
      <c r="S27" s="706">
        <f>F27</f>
        <v>100</v>
      </c>
      <c r="T27" s="705" t="s">
        <v>14</v>
      </c>
      <c r="U27" s="706">
        <f>H27</f>
        <v>100</v>
      </c>
      <c r="V27" s="705" t="s">
        <v>14</v>
      </c>
      <c r="W27" s="706">
        <f>J27</f>
        <v>100</v>
      </c>
      <c r="X27" s="1354"/>
      <c r="Y27" s="3679"/>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6"/>
      <c r="Q28" s="1342" t="str">
        <f t="shared" si="11"/>
        <v>朝向</v>
      </c>
      <c r="R28" s="701" t="s">
        <v>14</v>
      </c>
      <c r="S28" s="702">
        <f>F28</f>
        <v>100</v>
      </c>
      <c r="T28" s="701" t="s">
        <v>14</v>
      </c>
      <c r="U28" s="702">
        <f>H28</f>
        <v>100</v>
      </c>
      <c r="V28" s="701" t="s">
        <v>14</v>
      </c>
      <c r="W28" s="702">
        <f>J28</f>
        <v>100</v>
      </c>
      <c r="X28" s="703"/>
      <c r="Y28" s="3679"/>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6"/>
      <c r="Q29" s="1351">
        <f t="shared" si="11"/>
        <v>111</v>
      </c>
      <c r="R29" s="705" t="s">
        <v>14</v>
      </c>
      <c r="S29" s="706">
        <f t="shared" ref="S29:S47" si="12">F29</f>
        <v>100</v>
      </c>
      <c r="T29" s="705" t="s">
        <v>14</v>
      </c>
      <c r="U29" s="706">
        <f t="shared" ref="U29:U47" si="13">H29</f>
        <v>100</v>
      </c>
      <c r="V29" s="705" t="s">
        <v>14</v>
      </c>
      <c r="W29" s="706">
        <f t="shared" ref="W29:W47" si="14">J29</f>
        <v>100</v>
      </c>
      <c r="X29" s="1354"/>
      <c r="Y29" s="3679"/>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6"/>
      <c r="Q32" s="1351">
        <f t="shared" si="11"/>
        <v>111</v>
      </c>
      <c r="R32" s="705" t="s">
        <v>14</v>
      </c>
      <c r="S32" s="706">
        <f t="shared" si="12"/>
        <v>100</v>
      </c>
      <c r="T32" s="705" t="s">
        <v>14</v>
      </c>
      <c r="U32" s="706">
        <f t="shared" si="13"/>
        <v>100</v>
      </c>
      <c r="V32" s="705" t="s">
        <v>14</v>
      </c>
      <c r="W32" s="706">
        <f t="shared" si="14"/>
        <v>100</v>
      </c>
      <c r="X32" s="1354"/>
      <c r="Y32" s="3679"/>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0" t="s">
        <v>1696</v>
      </c>
      <c r="Q33" s="1351" t="str">
        <f t="shared" si="11"/>
        <v>建筑类型</v>
      </c>
      <c r="R33" s="705" t="s">
        <v>14</v>
      </c>
      <c r="S33" s="706">
        <f t="shared" si="12"/>
        <v>100</v>
      </c>
      <c r="T33" s="705" t="s">
        <v>14</v>
      </c>
      <c r="U33" s="706">
        <f t="shared" si="13"/>
        <v>100</v>
      </c>
      <c r="V33" s="705" t="s">
        <v>14</v>
      </c>
      <c r="W33" s="706">
        <f t="shared" si="14"/>
        <v>100</v>
      </c>
      <c r="X33" s="1354"/>
      <c r="Y33" s="3683"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1"/>
      <c r="Q35" s="1351" t="str">
        <f t="shared" si="11"/>
        <v>建筑结构</v>
      </c>
      <c r="R35" s="705" t="s">
        <v>14</v>
      </c>
      <c r="S35" s="706">
        <f t="shared" si="12"/>
        <v>100</v>
      </c>
      <c r="T35" s="705" t="s">
        <v>14</v>
      </c>
      <c r="U35" s="706">
        <f t="shared" si="13"/>
        <v>100</v>
      </c>
      <c r="V35" s="705" t="s">
        <v>14</v>
      </c>
      <c r="W35" s="706">
        <f t="shared" si="14"/>
        <v>100</v>
      </c>
      <c r="X35" s="1354"/>
      <c r="Y35" s="3683"/>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1"/>
      <c r="Q36" s="1351" t="str">
        <f t="shared" si="11"/>
        <v>公共部分装修</v>
      </c>
      <c r="R36" s="705" t="s">
        <v>14</v>
      </c>
      <c r="S36" s="706">
        <f t="shared" si="12"/>
        <v>100</v>
      </c>
      <c r="T36" s="705" t="s">
        <v>14</v>
      </c>
      <c r="U36" s="706">
        <f t="shared" si="13"/>
        <v>100</v>
      </c>
      <c r="V36" s="705" t="s">
        <v>14</v>
      </c>
      <c r="W36" s="706">
        <f t="shared" si="14"/>
        <v>100</v>
      </c>
      <c r="X36" s="1354"/>
      <c r="Y36" s="3683"/>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1"/>
      <c r="Q37" s="1351" t="str">
        <f t="shared" si="11"/>
        <v>成新度</v>
      </c>
      <c r="R37" s="705" t="s">
        <v>14</v>
      </c>
      <c r="S37" s="706" t="e">
        <f t="shared" si="12"/>
        <v>#N/A</v>
      </c>
      <c r="T37" s="705" t="s">
        <v>14</v>
      </c>
      <c r="U37" s="706" t="e">
        <f t="shared" si="13"/>
        <v>#N/A</v>
      </c>
      <c r="V37" s="705" t="s">
        <v>14</v>
      </c>
      <c r="W37" s="706" t="e">
        <f t="shared" si="14"/>
        <v>#N/A</v>
      </c>
      <c r="X37" s="1354"/>
      <c r="Y37" s="3683"/>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1"/>
      <c r="Q38" s="1342"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1" t="s">
        <v>1696</v>
      </c>
      <c r="Q39" s="1351" t="str">
        <f t="shared" si="11"/>
        <v>物业管理</v>
      </c>
      <c r="R39" s="705" t="s">
        <v>14</v>
      </c>
      <c r="S39" s="706">
        <f t="shared" si="12"/>
        <v>100</v>
      </c>
      <c r="T39" s="705" t="s">
        <v>14</v>
      </c>
      <c r="U39" s="706">
        <f t="shared" si="13"/>
        <v>100</v>
      </c>
      <c r="V39" s="705" t="s">
        <v>14</v>
      </c>
      <c r="W39" s="706">
        <f t="shared" si="14"/>
        <v>100</v>
      </c>
      <c r="X39" s="1354"/>
      <c r="Y39" s="3683"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1"/>
      <c r="Q40" s="1351" t="str">
        <f t="shared" si="11"/>
        <v>市政基础设施</v>
      </c>
      <c r="R40" s="705" t="s">
        <v>14</v>
      </c>
      <c r="S40" s="706">
        <f t="shared" si="12"/>
        <v>100</v>
      </c>
      <c r="T40" s="705" t="s">
        <v>14</v>
      </c>
      <c r="U40" s="706">
        <f t="shared" si="13"/>
        <v>100</v>
      </c>
      <c r="V40" s="705" t="s">
        <v>14</v>
      </c>
      <c r="W40" s="706">
        <f t="shared" si="14"/>
        <v>100</v>
      </c>
      <c r="X40" s="1354"/>
      <c r="Y40" s="3683"/>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1"/>
      <c r="Q41" s="1351" t="str">
        <f t="shared" si="11"/>
        <v>层高</v>
      </c>
      <c r="R41" s="705" t="s">
        <v>14</v>
      </c>
      <c r="S41" s="706">
        <f t="shared" si="12"/>
        <v>100</v>
      </c>
      <c r="T41" s="705" t="s">
        <v>14</v>
      </c>
      <c r="U41" s="706">
        <f t="shared" si="13"/>
        <v>100</v>
      </c>
      <c r="V41" s="705" t="s">
        <v>14</v>
      </c>
      <c r="W41" s="706">
        <f t="shared" si="14"/>
        <v>100</v>
      </c>
      <c r="X41" s="1354"/>
      <c r="Y41" s="3683"/>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1"/>
      <c r="Q43" s="1351" t="str">
        <f t="shared" si="11"/>
        <v>内部装修</v>
      </c>
      <c r="R43" s="705" t="s">
        <v>14</v>
      </c>
      <c r="S43" s="706">
        <f t="shared" si="12"/>
        <v>100</v>
      </c>
      <c r="T43" s="705" t="s">
        <v>14</v>
      </c>
      <c r="U43" s="706">
        <f t="shared" si="13"/>
        <v>100</v>
      </c>
      <c r="V43" s="705" t="s">
        <v>14</v>
      </c>
      <c r="W43" s="706">
        <f t="shared" si="14"/>
        <v>100</v>
      </c>
      <c r="X43" s="1354"/>
      <c r="Y43" s="3683"/>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1"/>
      <c r="Q44" s="1351" t="str">
        <f t="shared" si="11"/>
        <v>内部装修维护情况</v>
      </c>
      <c r="R44" s="705" t="s">
        <v>14</v>
      </c>
      <c r="S44" s="706">
        <f t="shared" si="12"/>
        <v>100</v>
      </c>
      <c r="T44" s="705" t="s">
        <v>14</v>
      </c>
      <c r="U44" s="706">
        <f t="shared" si="13"/>
        <v>100</v>
      </c>
      <c r="V44" s="705" t="s">
        <v>14</v>
      </c>
      <c r="W44" s="706">
        <f t="shared" si="14"/>
        <v>100</v>
      </c>
      <c r="X44" s="1354"/>
      <c r="Y44" s="3683"/>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1"/>
      <c r="Q45" s="1342">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1"/>
      <c r="Q46" s="1351">
        <f t="shared" si="11"/>
        <v>111</v>
      </c>
      <c r="R46" s="705" t="s">
        <v>14</v>
      </c>
      <c r="S46" s="706">
        <f t="shared" si="12"/>
        <v>100</v>
      </c>
      <c r="T46" s="705" t="s">
        <v>14</v>
      </c>
      <c r="U46" s="706">
        <f t="shared" si="13"/>
        <v>100</v>
      </c>
      <c r="V46" s="705" t="s">
        <v>14</v>
      </c>
      <c r="W46" s="706">
        <f t="shared" si="14"/>
        <v>100</v>
      </c>
      <c r="X46" s="1354"/>
      <c r="Y46" s="3683"/>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2"/>
      <c r="Q47" s="1351">
        <f t="shared" si="11"/>
        <v>111</v>
      </c>
      <c r="R47" s="705" t="s">
        <v>14</v>
      </c>
      <c r="S47" s="706">
        <f t="shared" si="12"/>
        <v>100</v>
      </c>
      <c r="T47" s="705" t="s">
        <v>14</v>
      </c>
      <c r="U47" s="706">
        <f t="shared" si="13"/>
        <v>100</v>
      </c>
      <c r="V47" s="705" t="s">
        <v>14</v>
      </c>
      <c r="W47" s="706">
        <f t="shared" si="14"/>
        <v>100</v>
      </c>
      <c r="X47" s="1354"/>
      <c r="Y47" s="3684"/>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913"/>
      <c r="M5" s="914"/>
      <c r="N5" s="914"/>
      <c r="O5" s="914"/>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913"/>
      <c r="M6" s="914"/>
      <c r="N6" s="914"/>
      <c r="O6" s="9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2"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9"/>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9"/>
      <c r="Q18" s="1351"/>
      <c r="R18" s="705"/>
      <c r="S18" s="706"/>
      <c r="T18" s="705"/>
      <c r="U18" s="706"/>
      <c r="V18" s="705"/>
      <c r="W18" s="706"/>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9"/>
      <c r="Q20" s="1351"/>
      <c r="R20" s="705"/>
      <c r="S20" s="706"/>
      <c r="T20" s="705"/>
      <c r="U20" s="706"/>
      <c r="V20" s="705"/>
      <c r="W20" s="706"/>
      <c r="X20" s="1354"/>
      <c r="Y20" s="367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9"/>
      <c r="Q22" s="1351"/>
      <c r="R22" s="705"/>
      <c r="S22" s="706"/>
      <c r="T22" s="705"/>
      <c r="U22" s="706"/>
      <c r="V22" s="705"/>
      <c r="W22" s="706"/>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9"/>
      <c r="Q24" s="1351"/>
      <c r="R24" s="705"/>
      <c r="S24" s="706"/>
      <c r="T24" s="705"/>
      <c r="U24" s="706"/>
      <c r="V24" s="705"/>
      <c r="W24" s="706"/>
      <c r="X24" s="1354"/>
      <c r="Y24" s="367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1">
        <f>B25</f>
        <v>111</v>
      </c>
      <c r="R25" s="705" t="s">
        <v>14</v>
      </c>
      <c r="S25" s="706">
        <f>F25</f>
        <v>100</v>
      </c>
      <c r="T25" s="705" t="s">
        <v>14</v>
      </c>
      <c r="U25" s="706">
        <f>H25</f>
        <v>100</v>
      </c>
      <c r="V25" s="705" t="s">
        <v>14</v>
      </c>
      <c r="W25" s="706">
        <f>J25</f>
        <v>100</v>
      </c>
      <c r="X25" s="1354"/>
      <c r="Y25" s="367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1">
        <f t="shared" ref="Q26:Q40" si="11">B26</f>
        <v>111</v>
      </c>
      <c r="R26" s="705" t="s">
        <v>14</v>
      </c>
      <c r="S26" s="706">
        <f>F26</f>
        <v>100</v>
      </c>
      <c r="T26" s="705" t="s">
        <v>14</v>
      </c>
      <c r="U26" s="706">
        <f>H26</f>
        <v>100</v>
      </c>
      <c r="V26" s="705" t="s">
        <v>14</v>
      </c>
      <c r="W26" s="706">
        <f>J26</f>
        <v>100</v>
      </c>
      <c r="X26" s="1354"/>
      <c r="Y26" s="367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2">
        <f t="shared" si="11"/>
        <v>111</v>
      </c>
      <c r="R27" s="701" t="s">
        <v>14</v>
      </c>
      <c r="S27" s="702">
        <f>F27</f>
        <v>100</v>
      </c>
      <c r="T27" s="701" t="s">
        <v>14</v>
      </c>
      <c r="U27" s="702">
        <f>H27</f>
        <v>100</v>
      </c>
      <c r="V27" s="701" t="s">
        <v>14</v>
      </c>
      <c r="W27" s="702">
        <f>J27</f>
        <v>100</v>
      </c>
      <c r="X27" s="703"/>
      <c r="Y27" s="367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1">
        <f t="shared" si="11"/>
        <v>111</v>
      </c>
      <c r="R28" s="705" t="s">
        <v>14</v>
      </c>
      <c r="S28" s="706">
        <f t="shared" ref="S28:S40" si="12">F28</f>
        <v>100</v>
      </c>
      <c r="T28" s="705" t="s">
        <v>14</v>
      </c>
      <c r="U28" s="706">
        <f t="shared" ref="U28:U40" si="13">H28</f>
        <v>100</v>
      </c>
      <c r="V28" s="705" t="s">
        <v>14</v>
      </c>
      <c r="W28" s="706">
        <f t="shared" ref="W28:W40" si="14">J28</f>
        <v>100</v>
      </c>
      <c r="X28" s="1354"/>
      <c r="Y28" s="3679"/>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7" t="s">
        <v>1696</v>
      </c>
      <c r="Q29" s="1351" t="str">
        <f t="shared" si="11"/>
        <v>建筑类型</v>
      </c>
      <c r="R29" s="705" t="s">
        <v>14</v>
      </c>
      <c r="S29" s="706">
        <f t="shared" si="12"/>
        <v>100</v>
      </c>
      <c r="T29" s="705" t="s">
        <v>14</v>
      </c>
      <c r="U29" s="706">
        <f t="shared" si="13"/>
        <v>100</v>
      </c>
      <c r="V29" s="705" t="s">
        <v>14</v>
      </c>
      <c r="W29" s="706">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1" t="str">
        <f t="shared" si="11"/>
        <v>建筑结构</v>
      </c>
      <c r="R31" s="705" t="s">
        <v>14</v>
      </c>
      <c r="S31" s="706">
        <f t="shared" si="12"/>
        <v>100</v>
      </c>
      <c r="T31" s="705" t="s">
        <v>14</v>
      </c>
      <c r="U31" s="706">
        <f t="shared" si="13"/>
        <v>100</v>
      </c>
      <c r="V31" s="705" t="s">
        <v>14</v>
      </c>
      <c r="W31" s="706">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1" t="str">
        <f t="shared" si="11"/>
        <v>公共部分装修</v>
      </c>
      <c r="R32" s="705" t="s">
        <v>14</v>
      </c>
      <c r="S32" s="706">
        <f t="shared" si="12"/>
        <v>100</v>
      </c>
      <c r="T32" s="705" t="s">
        <v>14</v>
      </c>
      <c r="U32" s="706">
        <f t="shared" si="13"/>
        <v>100</v>
      </c>
      <c r="V32" s="705" t="s">
        <v>14</v>
      </c>
      <c r="W32" s="706">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1" t="str">
        <f t="shared" si="11"/>
        <v>成新度</v>
      </c>
      <c r="R33" s="705" t="s">
        <v>14</v>
      </c>
      <c r="S33" s="706" t="e">
        <f t="shared" si="12"/>
        <v>#N/A</v>
      </c>
      <c r="T33" s="705" t="s">
        <v>14</v>
      </c>
      <c r="U33" s="706" t="e">
        <f t="shared" si="13"/>
        <v>#N/A</v>
      </c>
      <c r="V33" s="705" t="s">
        <v>14</v>
      </c>
      <c r="W33" s="706"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2"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1" t="str">
        <f t="shared" si="11"/>
        <v>市政基础设施</v>
      </c>
      <c r="R35" s="705" t="s">
        <v>14</v>
      </c>
      <c r="S35" s="706">
        <f t="shared" si="12"/>
        <v>100</v>
      </c>
      <c r="T35" s="705" t="s">
        <v>14</v>
      </c>
      <c r="U35" s="706">
        <f t="shared" si="13"/>
        <v>100</v>
      </c>
      <c r="V35" s="705" t="s">
        <v>14</v>
      </c>
      <c r="W35" s="706">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1" t="str">
        <f t="shared" si="11"/>
        <v>内部装修</v>
      </c>
      <c r="R36" s="705" t="s">
        <v>14</v>
      </c>
      <c r="S36" s="706">
        <f t="shared" si="12"/>
        <v>100</v>
      </c>
      <c r="T36" s="705" t="s">
        <v>14</v>
      </c>
      <c r="U36" s="706">
        <f t="shared" si="13"/>
        <v>100</v>
      </c>
      <c r="V36" s="705" t="s">
        <v>14</v>
      </c>
      <c r="W36" s="706">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1" t="str">
        <f t="shared" si="11"/>
        <v>内部装修状况</v>
      </c>
      <c r="R37" s="705" t="s">
        <v>14</v>
      </c>
      <c r="S37" s="706">
        <f t="shared" si="12"/>
        <v>100</v>
      </c>
      <c r="T37" s="705" t="s">
        <v>14</v>
      </c>
      <c r="U37" s="706">
        <f t="shared" si="13"/>
        <v>100</v>
      </c>
      <c r="V37" s="705" t="s">
        <v>14</v>
      </c>
      <c r="W37" s="706">
        <f t="shared" si="14"/>
        <v>100</v>
      </c>
      <c r="X37" s="1354"/>
      <c r="Y37" s="368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1">
        <f t="shared" si="11"/>
        <v>111</v>
      </c>
      <c r="R39" s="705" t="s">
        <v>14</v>
      </c>
      <c r="S39" s="706">
        <f t="shared" si="12"/>
        <v>100</v>
      </c>
      <c r="T39" s="705" t="s">
        <v>14</v>
      </c>
      <c r="U39" s="706">
        <f t="shared" si="13"/>
        <v>100</v>
      </c>
      <c r="V39" s="705" t="s">
        <v>14</v>
      </c>
      <c r="W39" s="706">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1">
        <f t="shared" si="11"/>
        <v>111</v>
      </c>
      <c r="R40" s="705" t="s">
        <v>14</v>
      </c>
      <c r="S40" s="706">
        <f t="shared" si="12"/>
        <v>100</v>
      </c>
      <c r="T40" s="705" t="s">
        <v>14</v>
      </c>
      <c r="U40" s="706">
        <f t="shared" si="13"/>
        <v>100</v>
      </c>
      <c r="V40" s="705" t="s">
        <v>14</v>
      </c>
      <c r="W40" s="706">
        <f t="shared" si="14"/>
        <v>100</v>
      </c>
      <c r="X40" s="1354"/>
      <c r="Y40" s="368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6" t="s">
        <v>1686</v>
      </c>
      <c r="Q9" s="1342"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6"/>
      <c r="Q11" s="1342">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79"/>
      <c r="Q15" s="1351"/>
      <c r="R15" s="705"/>
      <c r="S15" s="706"/>
      <c r="T15" s="705"/>
      <c r="U15" s="706"/>
      <c r="V15" s="705"/>
      <c r="W15" s="706"/>
      <c r="X15" s="1354"/>
      <c r="Y15" s="367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79"/>
      <c r="Q17" s="1351"/>
      <c r="R17" s="705"/>
      <c r="S17" s="706"/>
      <c r="T17" s="705"/>
      <c r="U17" s="706"/>
      <c r="V17" s="705"/>
      <c r="W17" s="706"/>
      <c r="X17" s="1354"/>
      <c r="Y17" s="367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79"/>
      <c r="Q19" s="1351"/>
      <c r="R19" s="705"/>
      <c r="S19" s="706"/>
      <c r="T19" s="705"/>
      <c r="U19" s="706"/>
      <c r="V19" s="705"/>
      <c r="W19" s="706"/>
      <c r="X19" s="1354"/>
      <c r="Y19" s="367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79"/>
      <c r="Q21" s="1351"/>
      <c r="R21" s="705"/>
      <c r="S21" s="706"/>
      <c r="T21" s="705"/>
      <c r="U21" s="706"/>
      <c r="V21" s="705"/>
      <c r="W21" s="706"/>
      <c r="X21" s="1354"/>
      <c r="Y21" s="367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9"/>
      <c r="Q24" s="1351">
        <f t="shared" ref="Q24:Q36"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3"/>
      <c r="Q28" s="1351" t="str">
        <f t="shared" si="11"/>
        <v>公共部分装修</v>
      </c>
      <c r="R28" s="705" t="s">
        <v>14</v>
      </c>
      <c r="S28" s="706">
        <f t="shared" si="12"/>
        <v>100</v>
      </c>
      <c r="T28" s="705" t="s">
        <v>14</v>
      </c>
      <c r="U28" s="706">
        <f t="shared" si="13"/>
        <v>100</v>
      </c>
      <c r="V28" s="705" t="s">
        <v>14</v>
      </c>
      <c r="W28" s="706">
        <f t="shared" si="14"/>
        <v>100</v>
      </c>
      <c r="X28" s="1354"/>
      <c r="Y28" s="368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3"/>
      <c r="Q29" s="1351" t="str">
        <f t="shared" si="11"/>
        <v>成新率</v>
      </c>
      <c r="R29" s="705" t="s">
        <v>14</v>
      </c>
      <c r="S29" s="706" t="e">
        <f t="shared" si="12"/>
        <v>#N/A</v>
      </c>
      <c r="T29" s="705" t="s">
        <v>14</v>
      </c>
      <c r="U29" s="706" t="e">
        <f t="shared" si="13"/>
        <v>#N/A</v>
      </c>
      <c r="V29" s="705" t="s">
        <v>14</v>
      </c>
      <c r="W29" s="706" t="e">
        <f t="shared" si="14"/>
        <v>#N/A</v>
      </c>
      <c r="X29" s="1354"/>
      <c r="Y29" s="368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3"/>
      <c r="Q30" s="1351" t="str">
        <f t="shared" si="11"/>
        <v>物业等级</v>
      </c>
      <c r="R30" s="705" t="s">
        <v>14</v>
      </c>
      <c r="S30" s="706">
        <f t="shared" si="12"/>
        <v>100</v>
      </c>
      <c r="T30" s="705" t="s">
        <v>14</v>
      </c>
      <c r="U30" s="706">
        <f t="shared" si="13"/>
        <v>100</v>
      </c>
      <c r="V30" s="705" t="s">
        <v>14</v>
      </c>
      <c r="W30" s="706">
        <f t="shared" si="14"/>
        <v>100</v>
      </c>
      <c r="X30" s="1354"/>
      <c r="Y30" s="368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3"/>
      <c r="Q31" s="1342"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3" t="s">
        <v>1696</v>
      </c>
      <c r="Q32" s="1351" t="str">
        <f t="shared" si="11"/>
        <v>车位类型</v>
      </c>
      <c r="R32" s="705" t="s">
        <v>14</v>
      </c>
      <c r="S32" s="706">
        <f t="shared" si="12"/>
        <v>100</v>
      </c>
      <c r="T32" s="705" t="s">
        <v>14</v>
      </c>
      <c r="U32" s="706">
        <f t="shared" si="13"/>
        <v>100</v>
      </c>
      <c r="V32" s="705" t="s">
        <v>14</v>
      </c>
      <c r="W32" s="706">
        <f t="shared" si="14"/>
        <v>100</v>
      </c>
      <c r="X32" s="1354"/>
      <c r="Y32" s="368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3"/>
      <c r="Q33" s="1351" t="str">
        <f t="shared" si="11"/>
        <v>是否直接入户</v>
      </c>
      <c r="R33" s="705" t="s">
        <v>14</v>
      </c>
      <c r="S33" s="706">
        <f t="shared" si="12"/>
        <v>100</v>
      </c>
      <c r="T33" s="705" t="s">
        <v>14</v>
      </c>
      <c r="U33" s="706">
        <f t="shared" si="13"/>
        <v>100</v>
      </c>
      <c r="V33" s="705" t="s">
        <v>14</v>
      </c>
      <c r="W33" s="706">
        <f t="shared" si="14"/>
        <v>100</v>
      </c>
      <c r="X33" s="1354"/>
      <c r="Y33" s="368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3"/>
      <c r="Q36" s="1351">
        <f t="shared" si="11"/>
        <v>111</v>
      </c>
      <c r="R36" s="705" t="s">
        <v>14</v>
      </c>
      <c r="S36" s="706">
        <f t="shared" si="12"/>
        <v>100</v>
      </c>
      <c r="T36" s="705" t="s">
        <v>14</v>
      </c>
      <c r="U36" s="706">
        <f t="shared" si="13"/>
        <v>100</v>
      </c>
      <c r="V36" s="705" t="s">
        <v>14</v>
      </c>
      <c r="W36" s="706">
        <f t="shared" si="14"/>
        <v>100</v>
      </c>
      <c r="X36" s="1354"/>
      <c r="Y36" s="3683"/>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73" t="str">
        <f>A39</f>
        <v>估价对象XX用房的比较价值（楼面单价，元/平方米）</v>
      </c>
      <c r="Q39" s="3674"/>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6" t="s">
        <v>1686</v>
      </c>
      <c r="Q9" s="1342"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6"/>
      <c r="Q11" s="1342">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79"/>
      <c r="Q15" s="1351"/>
      <c r="R15" s="705"/>
      <c r="S15" s="706"/>
      <c r="T15" s="705"/>
      <c r="U15" s="706"/>
      <c r="V15" s="705"/>
      <c r="W15" s="706"/>
      <c r="X15" s="1354"/>
      <c r="Y15" s="367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79"/>
      <c r="Q17" s="1351"/>
      <c r="R17" s="705"/>
      <c r="S17" s="706"/>
      <c r="T17" s="705"/>
      <c r="U17" s="706"/>
      <c r="V17" s="705"/>
      <c r="W17" s="706"/>
      <c r="X17" s="1354"/>
      <c r="Y17" s="367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79"/>
      <c r="Q19" s="1351"/>
      <c r="R19" s="705"/>
      <c r="S19" s="706"/>
      <c r="T19" s="705"/>
      <c r="U19" s="706"/>
      <c r="V19" s="705"/>
      <c r="W19" s="706"/>
      <c r="X19" s="1354"/>
      <c r="Y19" s="367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79"/>
      <c r="Q21" s="1351"/>
      <c r="R21" s="705"/>
      <c r="S21" s="706"/>
      <c r="T21" s="705"/>
      <c r="U21" s="706"/>
      <c r="V21" s="705"/>
      <c r="W21" s="706"/>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9"/>
      <c r="Q24" s="1351">
        <f t="shared" ref="Q24:Q34"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3"/>
      <c r="Q28" s="1351" t="str">
        <f t="shared" si="11"/>
        <v>物业等级</v>
      </c>
      <c r="R28" s="705" t="s">
        <v>14</v>
      </c>
      <c r="S28" s="706">
        <f t="shared" si="12"/>
        <v>100</v>
      </c>
      <c r="T28" s="705" t="s">
        <v>14</v>
      </c>
      <c r="U28" s="706">
        <f t="shared" si="13"/>
        <v>100</v>
      </c>
      <c r="V28" s="705" t="s">
        <v>14</v>
      </c>
      <c r="W28" s="706">
        <f t="shared" si="14"/>
        <v>100</v>
      </c>
      <c r="X28" s="1354"/>
      <c r="Y28" s="368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3"/>
      <c r="Q29" s="1351" t="str">
        <f t="shared" si="11"/>
        <v>有无电梯</v>
      </c>
      <c r="R29" s="705" t="s">
        <v>14</v>
      </c>
      <c r="S29" s="706">
        <f t="shared" si="12"/>
        <v>100</v>
      </c>
      <c r="T29" s="705" t="s">
        <v>14</v>
      </c>
      <c r="U29" s="706">
        <f t="shared" si="13"/>
        <v>100</v>
      </c>
      <c r="V29" s="705" t="s">
        <v>14</v>
      </c>
      <c r="W29" s="706">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3"/>
      <c r="Q30" s="1351" t="str">
        <f t="shared" si="11"/>
        <v>建筑面积</v>
      </c>
      <c r="R30" s="705" t="s">
        <v>14</v>
      </c>
      <c r="S30" s="706" t="e">
        <f t="shared" si="12"/>
        <v>#N/A</v>
      </c>
      <c r="T30" s="705" t="s">
        <v>14</v>
      </c>
      <c r="U30" s="706" t="e">
        <f t="shared" si="13"/>
        <v>#N/A</v>
      </c>
      <c r="V30" s="705" t="s">
        <v>14</v>
      </c>
      <c r="W30" s="706"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3"/>
      <c r="Q31" s="1342"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3" t="s">
        <v>1696</v>
      </c>
      <c r="Q32" s="1351">
        <f t="shared" si="11"/>
        <v>111</v>
      </c>
      <c r="R32" s="705" t="s">
        <v>14</v>
      </c>
      <c r="S32" s="706">
        <f t="shared" si="12"/>
        <v>100</v>
      </c>
      <c r="T32" s="705" t="s">
        <v>14</v>
      </c>
      <c r="U32" s="706">
        <f t="shared" si="13"/>
        <v>100</v>
      </c>
      <c r="V32" s="705" t="s">
        <v>14</v>
      </c>
      <c r="W32" s="706">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3"/>
      <c r="Q33" s="1351">
        <f t="shared" si="11"/>
        <v>111</v>
      </c>
      <c r="R33" s="705" t="s">
        <v>14</v>
      </c>
      <c r="S33" s="706">
        <f t="shared" si="12"/>
        <v>100</v>
      </c>
      <c r="T33" s="705" t="s">
        <v>14</v>
      </c>
      <c r="U33" s="706">
        <f t="shared" si="13"/>
        <v>100</v>
      </c>
      <c r="V33" s="705" t="s">
        <v>14</v>
      </c>
      <c r="W33" s="706">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73" t="str">
        <f>A37</f>
        <v>估价对象XX用房的比较价值（楼面单价，元/平方米）</v>
      </c>
      <c r="Q37" s="3674"/>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30"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30" s="108" customFormat="1" ht="15.75" thickBot="1">
      <c r="A7" s="362" t="s">
        <v>1679</v>
      </c>
      <c r="B7" s="363"/>
      <c r="C7" s="364">
        <f>'数据-取费表'!B2</f>
        <v>45131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6"/>
      <c r="M10" s="2717"/>
      <c r="N10" s="2717"/>
      <c r="O10" s="2770"/>
      <c r="P10" s="3676"/>
      <c r="Q10" s="1342" t="str">
        <f t="shared" si="6"/>
        <v>土地使用年限（年）</v>
      </c>
      <c r="R10" s="701" t="s">
        <v>14</v>
      </c>
      <c r="S10" s="702">
        <f t="shared" si="0"/>
        <v>135</v>
      </c>
      <c r="T10" s="701" t="s">
        <v>14</v>
      </c>
      <c r="U10" s="702">
        <f t="shared" si="1"/>
        <v>135</v>
      </c>
      <c r="V10" s="701" t="s">
        <v>14</v>
      </c>
      <c r="W10" s="702">
        <f t="shared" si="2"/>
        <v>135</v>
      </c>
      <c r="X10" s="703"/>
      <c r="Y10" s="3572"/>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6"/>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6"/>
      <c r="Q12" s="1342"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8" t="s">
        <v>1691</v>
      </c>
      <c r="Q15" s="1351" t="str">
        <f t="shared" si="6"/>
        <v>居住社区成熟度</v>
      </c>
      <c r="R15" s="705" t="s">
        <v>14</v>
      </c>
      <c r="S15" s="706">
        <f t="shared" si="0"/>
        <v>100</v>
      </c>
      <c r="T15" s="705" t="s">
        <v>14</v>
      </c>
      <c r="U15" s="706">
        <f t="shared" si="1"/>
        <v>100</v>
      </c>
      <c r="V15" s="705" t="s">
        <v>14</v>
      </c>
      <c r="W15" s="706">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79"/>
      <c r="Q16" s="1351"/>
      <c r="R16" s="705"/>
      <c r="S16" s="706"/>
      <c r="T16" s="705"/>
      <c r="U16" s="706"/>
      <c r="V16" s="705"/>
      <c r="W16" s="706"/>
      <c r="X16" s="1354"/>
      <c r="Y16" s="3679"/>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9"/>
      <c r="Q17" s="1351" t="str">
        <f>B17</f>
        <v>商业繁华度</v>
      </c>
      <c r="R17" s="705" t="s">
        <v>14</v>
      </c>
      <c r="S17" s="706">
        <f>F17</f>
        <v>100</v>
      </c>
      <c r="T17" s="705" t="s">
        <v>14</v>
      </c>
      <c r="U17" s="706">
        <f>H17</f>
        <v>100</v>
      </c>
      <c r="V17" s="705" t="s">
        <v>14</v>
      </c>
      <c r="W17" s="706">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79"/>
      <c r="Q18" s="1351"/>
      <c r="R18" s="705"/>
      <c r="S18" s="706"/>
      <c r="T18" s="705"/>
      <c r="U18" s="706"/>
      <c r="V18" s="705"/>
      <c r="W18" s="706"/>
      <c r="X18" s="1354"/>
      <c r="Y18" s="3679"/>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9"/>
      <c r="Q19" s="1351" t="str">
        <f>B19</f>
        <v>办公集聚程度</v>
      </c>
      <c r="R19" s="705" t="s">
        <v>14</v>
      </c>
      <c r="S19" s="706">
        <f>F19</f>
        <v>100</v>
      </c>
      <c r="T19" s="705" t="s">
        <v>14</v>
      </c>
      <c r="U19" s="706">
        <f>H19</f>
        <v>100</v>
      </c>
      <c r="V19" s="705" t="s">
        <v>14</v>
      </c>
      <c r="W19" s="706">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79"/>
      <c r="Q20" s="1351"/>
      <c r="R20" s="705"/>
      <c r="S20" s="706"/>
      <c r="T20" s="705"/>
      <c r="U20" s="706"/>
      <c r="V20" s="705"/>
      <c r="W20" s="706"/>
      <c r="X20" s="1354"/>
      <c r="Y20" s="367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9"/>
      <c r="Q21" s="1351" t="str">
        <f>B21</f>
        <v>交通便捷度</v>
      </c>
      <c r="R21" s="705" t="s">
        <v>14</v>
      </c>
      <c r="S21" s="706">
        <f>F21</f>
        <v>100</v>
      </c>
      <c r="T21" s="705" t="s">
        <v>14</v>
      </c>
      <c r="U21" s="706">
        <f>H21</f>
        <v>100</v>
      </c>
      <c r="V21" s="705" t="s">
        <v>14</v>
      </c>
      <c r="W21" s="706">
        <f>J21</f>
        <v>100</v>
      </c>
      <c r="X21" s="1354"/>
      <c r="Y21" s="367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79"/>
      <c r="Q22" s="1351"/>
      <c r="R22" s="705"/>
      <c r="S22" s="706"/>
      <c r="T22" s="705"/>
      <c r="U22" s="706"/>
      <c r="V22" s="705"/>
      <c r="W22" s="706"/>
      <c r="X22" s="1354"/>
      <c r="Y22" s="367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9"/>
      <c r="Q23" s="1351" t="str">
        <f t="shared" ref="Q23:Q37" si="8">B23</f>
        <v>区域土地利用方向</v>
      </c>
      <c r="R23" s="705" t="s">
        <v>14</v>
      </c>
      <c r="S23" s="706">
        <f>F23</f>
        <v>100</v>
      </c>
      <c r="T23" s="705" t="s">
        <v>14</v>
      </c>
      <c r="U23" s="706">
        <f>H23</f>
        <v>100</v>
      </c>
      <c r="V23" s="705" t="s">
        <v>14</v>
      </c>
      <c r="W23" s="706">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79"/>
      <c r="Q24" s="1351"/>
      <c r="R24" s="705"/>
      <c r="S24" s="706"/>
      <c r="T24" s="705"/>
      <c r="U24" s="706"/>
      <c r="V24" s="705"/>
      <c r="W24" s="706"/>
      <c r="X24" s="1354"/>
      <c r="Y24" s="3679"/>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9"/>
      <c r="Q25" s="1351" t="str">
        <f t="shared" si="8"/>
        <v>自然及人文环境状况</v>
      </c>
      <c r="R25" s="705" t="s">
        <v>14</v>
      </c>
      <c r="S25" s="706">
        <f>F25</f>
        <v>100</v>
      </c>
      <c r="T25" s="705" t="s">
        <v>14</v>
      </c>
      <c r="U25" s="706">
        <f>H25</f>
        <v>100</v>
      </c>
      <c r="V25" s="705" t="s">
        <v>14</v>
      </c>
      <c r="W25" s="706">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79"/>
      <c r="Q26" s="1351"/>
      <c r="R26" s="705"/>
      <c r="S26" s="706"/>
      <c r="T26" s="705"/>
      <c r="U26" s="706"/>
      <c r="V26" s="705"/>
      <c r="W26" s="706"/>
      <c r="X26" s="1354"/>
      <c r="Y26" s="367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9"/>
      <c r="Q27" s="1342" t="str">
        <f t="shared" si="8"/>
        <v>公共配套设施</v>
      </c>
      <c r="R27" s="701" t="s">
        <v>14</v>
      </c>
      <c r="S27" s="702">
        <f>F27</f>
        <v>100</v>
      </c>
      <c r="T27" s="701" t="s">
        <v>14</v>
      </c>
      <c r="U27" s="702">
        <f>H27</f>
        <v>100</v>
      </c>
      <c r="V27" s="701" t="s">
        <v>14</v>
      </c>
      <c r="W27" s="702">
        <f>J27</f>
        <v>100</v>
      </c>
      <c r="X27" s="703"/>
      <c r="Y27" s="3679"/>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679"/>
      <c r="Q28" s="1342"/>
      <c r="R28" s="701"/>
      <c r="S28" s="702"/>
      <c r="T28" s="701"/>
      <c r="U28" s="702"/>
      <c r="V28" s="701"/>
      <c r="W28" s="702"/>
      <c r="X28" s="703"/>
      <c r="Y28" s="367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9"/>
      <c r="Q29" s="1342"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679"/>
      <c r="Q30" s="1342"/>
      <c r="R30" s="701"/>
      <c r="S30" s="702"/>
      <c r="T30" s="701"/>
      <c r="U30" s="702"/>
      <c r="V30" s="701"/>
      <c r="W30" s="702"/>
      <c r="X30" s="703"/>
      <c r="Y30" s="367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9"/>
      <c r="Q32" s="1351" t="str">
        <f t="shared" si="8"/>
        <v>毗邻道路的类型与等级</v>
      </c>
      <c r="R32" s="705" t="s">
        <v>14</v>
      </c>
      <c r="S32" s="706">
        <f t="shared" si="10"/>
        <v>100</v>
      </c>
      <c r="T32" s="705" t="s">
        <v>14</v>
      </c>
      <c r="U32" s="706">
        <f t="shared" si="11"/>
        <v>100</v>
      </c>
      <c r="V32" s="705" t="s">
        <v>14</v>
      </c>
      <c r="W32" s="706">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79"/>
      <c r="Q33" s="1351"/>
      <c r="R33" s="705"/>
      <c r="S33" s="706"/>
      <c r="T33" s="705"/>
      <c r="U33" s="706"/>
      <c r="V33" s="705"/>
      <c r="W33" s="706"/>
      <c r="X33" s="1354"/>
      <c r="Y33" s="367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9"/>
      <c r="Q34" s="1351" t="str">
        <f t="shared" si="8"/>
        <v>土地级别</v>
      </c>
      <c r="R34" s="705" t="s">
        <v>14</v>
      </c>
      <c r="S34" s="706">
        <f t="shared" si="10"/>
        <v>100</v>
      </c>
      <c r="T34" s="705" t="s">
        <v>14</v>
      </c>
      <c r="U34" s="706">
        <f t="shared" si="11"/>
        <v>100</v>
      </c>
      <c r="V34" s="705" t="s">
        <v>14</v>
      </c>
      <c r="W34" s="706">
        <f t="shared" si="12"/>
        <v>100</v>
      </c>
      <c r="X34" s="1354"/>
      <c r="Y34" s="367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9"/>
      <c r="Q35" s="1351">
        <f t="shared" si="8"/>
        <v>111</v>
      </c>
      <c r="R35" s="705" t="s">
        <v>14</v>
      </c>
      <c r="S35" s="706">
        <f t="shared" si="10"/>
        <v>100</v>
      </c>
      <c r="T35" s="705" t="s">
        <v>14</v>
      </c>
      <c r="U35" s="706">
        <f t="shared" si="11"/>
        <v>100</v>
      </c>
      <c r="V35" s="705" t="s">
        <v>14</v>
      </c>
      <c r="W35" s="706">
        <f t="shared" si="12"/>
        <v>100</v>
      </c>
      <c r="X35" s="1354"/>
      <c r="Y35" s="367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7" t="s">
        <v>1696</v>
      </c>
      <c r="Q36" s="1351">
        <f t="shared" si="8"/>
        <v>111</v>
      </c>
      <c r="R36" s="705" t="s">
        <v>14</v>
      </c>
      <c r="S36" s="706">
        <f t="shared" si="10"/>
        <v>100</v>
      </c>
      <c r="T36" s="705" t="s">
        <v>14</v>
      </c>
      <c r="U36" s="706">
        <f t="shared" si="11"/>
        <v>100</v>
      </c>
      <c r="V36" s="705" t="s">
        <v>14</v>
      </c>
      <c r="W36" s="706">
        <f t="shared" si="12"/>
        <v>100</v>
      </c>
      <c r="X36" s="1354"/>
      <c r="Y36" s="368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3"/>
      <c r="Q37" s="1351">
        <f t="shared" si="8"/>
        <v>111</v>
      </c>
      <c r="R37" s="708" t="s">
        <v>14</v>
      </c>
      <c r="S37" s="709">
        <f t="shared" si="10"/>
        <v>100</v>
      </c>
      <c r="T37" s="708" t="s">
        <v>14</v>
      </c>
      <c r="U37" s="709">
        <f t="shared" si="11"/>
        <v>100</v>
      </c>
      <c r="V37" s="708" t="s">
        <v>14</v>
      </c>
      <c r="W37" s="709">
        <f t="shared" si="12"/>
        <v>100</v>
      </c>
      <c r="X37" s="710"/>
      <c r="Y37" s="368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3"/>
      <c r="Q38" s="1351" t="str">
        <f>B38</f>
        <v>宗地面积</v>
      </c>
      <c r="R38" s="705" t="s">
        <v>14</v>
      </c>
      <c r="S38" s="706" t="e">
        <f t="shared" si="10"/>
        <v>#N/A</v>
      </c>
      <c r="T38" s="705" t="s">
        <v>14</v>
      </c>
      <c r="U38" s="706" t="e">
        <f t="shared" si="11"/>
        <v>#N/A</v>
      </c>
      <c r="V38" s="705" t="s">
        <v>14</v>
      </c>
      <c r="W38" s="706"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3"/>
      <c r="Q39" s="1351" t="str">
        <f t="shared" ref="Q39:Q45" si="14">B39</f>
        <v>宗地形状</v>
      </c>
      <c r="R39" s="705" t="s">
        <v>14</v>
      </c>
      <c r="S39" s="706">
        <f t="shared" si="10"/>
        <v>100</v>
      </c>
      <c r="T39" s="705" t="s">
        <v>14</v>
      </c>
      <c r="U39" s="706">
        <f t="shared" si="11"/>
        <v>100</v>
      </c>
      <c r="V39" s="705" t="s">
        <v>14</v>
      </c>
      <c r="W39" s="706">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3"/>
      <c r="Q40" s="1351" t="str">
        <f t="shared" si="14"/>
        <v>临街宽度及深度</v>
      </c>
      <c r="R40" s="705" t="s">
        <v>14</v>
      </c>
      <c r="S40" s="706">
        <f t="shared" si="10"/>
        <v>100</v>
      </c>
      <c r="T40" s="705" t="s">
        <v>14</v>
      </c>
      <c r="U40" s="706">
        <f t="shared" si="11"/>
        <v>100</v>
      </c>
      <c r="V40" s="705" t="s">
        <v>14</v>
      </c>
      <c r="W40" s="706">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3"/>
      <c r="Q41" s="1351"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3" t="s">
        <v>1696</v>
      </c>
      <c r="Q42" s="1351" t="str">
        <f t="shared" si="14"/>
        <v>工程地质条件</v>
      </c>
      <c r="R42" s="705" t="s">
        <v>14</v>
      </c>
      <c r="S42" s="706">
        <f t="shared" si="10"/>
        <v>100</v>
      </c>
      <c r="T42" s="705" t="s">
        <v>14</v>
      </c>
      <c r="U42" s="706">
        <f t="shared" si="11"/>
        <v>100</v>
      </c>
      <c r="V42" s="705" t="s">
        <v>14</v>
      </c>
      <c r="W42" s="706">
        <f t="shared" si="12"/>
        <v>100</v>
      </c>
      <c r="X42" s="1354"/>
      <c r="Y42" s="368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3"/>
      <c r="Q43" s="1351">
        <f t="shared" si="14"/>
        <v>111</v>
      </c>
      <c r="R43" s="705" t="s">
        <v>14</v>
      </c>
      <c r="S43" s="706">
        <f t="shared" si="10"/>
        <v>100</v>
      </c>
      <c r="T43" s="705" t="s">
        <v>14</v>
      </c>
      <c r="U43" s="706">
        <f t="shared" si="11"/>
        <v>100</v>
      </c>
      <c r="V43" s="705" t="s">
        <v>14</v>
      </c>
      <c r="W43" s="706">
        <f t="shared" si="12"/>
        <v>100</v>
      </c>
      <c r="X43" s="1354"/>
      <c r="Y43" s="368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3"/>
      <c r="Q44" s="1351">
        <f t="shared" si="14"/>
        <v>111</v>
      </c>
      <c r="R44" s="705" t="s">
        <v>14</v>
      </c>
      <c r="S44" s="706">
        <f t="shared" si="10"/>
        <v>100</v>
      </c>
      <c r="T44" s="705" t="s">
        <v>14</v>
      </c>
      <c r="U44" s="706">
        <f t="shared" si="11"/>
        <v>100</v>
      </c>
      <c r="V44" s="705" t="s">
        <v>14</v>
      </c>
      <c r="W44" s="706">
        <f t="shared" si="12"/>
        <v>100</v>
      </c>
      <c r="X44" s="1354"/>
      <c r="Y44" s="3683"/>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3"/>
      <c r="Q45" s="1351">
        <f t="shared" si="14"/>
        <v>111</v>
      </c>
      <c r="R45" s="708" t="s">
        <v>14</v>
      </c>
      <c r="S45" s="709">
        <f t="shared" si="10"/>
        <v>100</v>
      </c>
      <c r="T45" s="708" t="s">
        <v>14</v>
      </c>
      <c r="U45" s="709">
        <f t="shared" si="11"/>
        <v>100</v>
      </c>
      <c r="V45" s="708" t="s">
        <v>14</v>
      </c>
      <c r="W45" s="709">
        <f t="shared" si="12"/>
        <v>100</v>
      </c>
      <c r="X45" s="710"/>
      <c r="Y45" s="3683"/>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6" t="str">
        <f>A47</f>
        <v>比较价值（元/平方米）</v>
      </c>
      <c r="Q47" s="3676"/>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73" t="str">
        <f>A48</f>
        <v>估价对象XX用房的比较价值（楼面单价，元/平方米）</v>
      </c>
      <c r="Q48" s="3674"/>
      <c r="R48" s="3760" t="e">
        <f>ROUND(IF(D47="简单平均",AVERAGE(R47:W47),R47*F47+T47*H47+V47*J47),0)</f>
        <v>#DIV/0!</v>
      </c>
      <c r="S48" s="3760"/>
      <c r="T48" s="3760"/>
      <c r="U48" s="3760"/>
      <c r="V48" s="3760"/>
      <c r="W48" s="376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1" t="s">
        <v>1887</v>
      </c>
      <c r="H55" s="3761"/>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56.8</v>
      </c>
      <c r="F56" s="886" t="e">
        <f t="shared" ref="F56:F64" si="15">ROUND(B56*E56/10000,0)</f>
        <v>#DIV/0!</v>
      </c>
      <c r="G56" s="3687"/>
      <c r="H56" s="367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56.8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62" t="s">
        <v>1919</v>
      </c>
      <c r="D6" s="3763"/>
      <c r="E6" s="3764" t="s">
        <v>1919</v>
      </c>
      <c r="F6" s="3765"/>
      <c r="G6" s="3762" t="s">
        <v>1919</v>
      </c>
      <c r="H6" s="3763"/>
      <c r="I6" s="3762" t="s">
        <v>1919</v>
      </c>
      <c r="J6" s="3763"/>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6"/>
      <c r="M10" s="2717"/>
      <c r="N10" s="2717"/>
      <c r="O10" s="2770"/>
      <c r="P10" s="3676"/>
      <c r="Q10" s="1342" t="str">
        <f t="shared" si="6"/>
        <v>土地使用年限（年）</v>
      </c>
      <c r="R10" s="701" t="s">
        <v>14</v>
      </c>
      <c r="S10" s="702">
        <f t="shared" si="0"/>
        <v>135</v>
      </c>
      <c r="T10" s="701" t="s">
        <v>14</v>
      </c>
      <c r="U10" s="702">
        <f t="shared" si="1"/>
        <v>135</v>
      </c>
      <c r="V10" s="701" t="s">
        <v>14</v>
      </c>
      <c r="W10" s="702">
        <f t="shared" si="2"/>
        <v>135</v>
      </c>
      <c r="X10" s="703"/>
      <c r="Y10" s="3572"/>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6"/>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79"/>
      <c r="Q16" s="1351"/>
      <c r="R16" s="705"/>
      <c r="S16" s="706"/>
      <c r="T16" s="705"/>
      <c r="U16" s="706"/>
      <c r="V16" s="705"/>
      <c r="W16" s="706"/>
      <c r="X16" s="1354"/>
      <c r="Y16" s="367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79"/>
      <c r="Q18" s="1351"/>
      <c r="R18" s="705"/>
      <c r="S18" s="706"/>
      <c r="T18" s="705"/>
      <c r="U18" s="706"/>
      <c r="V18" s="705"/>
      <c r="W18" s="706"/>
      <c r="X18" s="1354"/>
      <c r="Y18" s="367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9"/>
      <c r="Q19" s="1351" t="str">
        <f t="shared" ref="Q19:Q33" si="8">B19</f>
        <v>区域土地利用方向</v>
      </c>
      <c r="R19" s="705" t="s">
        <v>14</v>
      </c>
      <c r="S19" s="706">
        <f>F19</f>
        <v>100</v>
      </c>
      <c r="T19" s="705" t="s">
        <v>14</v>
      </c>
      <c r="U19" s="706">
        <f>H19</f>
        <v>100</v>
      </c>
      <c r="V19" s="705" t="s">
        <v>14</v>
      </c>
      <c r="W19" s="706">
        <f>J19</f>
        <v>100</v>
      </c>
      <c r="X19" s="1354"/>
      <c r="Y19" s="367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79"/>
      <c r="Q20" s="1351"/>
      <c r="R20" s="705"/>
      <c r="S20" s="706"/>
      <c r="T20" s="705"/>
      <c r="U20" s="706"/>
      <c r="V20" s="705"/>
      <c r="W20" s="706"/>
      <c r="X20" s="1354"/>
      <c r="Y20" s="367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9"/>
      <c r="Q21" s="1351" t="str">
        <f t="shared" si="8"/>
        <v>环境状况</v>
      </c>
      <c r="R21" s="705" t="s">
        <v>14</v>
      </c>
      <c r="S21" s="706">
        <f>F21</f>
        <v>100</v>
      </c>
      <c r="T21" s="705" t="s">
        <v>14</v>
      </c>
      <c r="U21" s="706">
        <f>H21</f>
        <v>100</v>
      </c>
      <c r="V21" s="705" t="s">
        <v>14</v>
      </c>
      <c r="W21" s="706">
        <f>J21</f>
        <v>100</v>
      </c>
      <c r="X21" s="1354"/>
      <c r="Y21" s="367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79"/>
      <c r="Q22" s="1351"/>
      <c r="R22" s="705"/>
      <c r="S22" s="706"/>
      <c r="T22" s="705"/>
      <c r="U22" s="706"/>
      <c r="V22" s="705"/>
      <c r="W22" s="706"/>
      <c r="X22" s="1354"/>
      <c r="Y22" s="367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9"/>
      <c r="Q23" s="1342" t="str">
        <f t="shared" si="8"/>
        <v>公共配套设施</v>
      </c>
      <c r="R23" s="701" t="s">
        <v>14</v>
      </c>
      <c r="S23" s="702">
        <f>F23</f>
        <v>100</v>
      </c>
      <c r="T23" s="701" t="s">
        <v>14</v>
      </c>
      <c r="U23" s="702">
        <f>H23</f>
        <v>100</v>
      </c>
      <c r="V23" s="701" t="s">
        <v>14</v>
      </c>
      <c r="W23" s="702">
        <f>J23</f>
        <v>100</v>
      </c>
      <c r="X23" s="703"/>
      <c r="Y23" s="3679"/>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679"/>
      <c r="Q24" s="1342"/>
      <c r="R24" s="701"/>
      <c r="S24" s="702"/>
      <c r="T24" s="701"/>
      <c r="U24" s="702"/>
      <c r="V24" s="701"/>
      <c r="W24" s="702"/>
      <c r="X24" s="703"/>
      <c r="Y24" s="367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9"/>
      <c r="Q25" s="1342"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679"/>
      <c r="Q26" s="1342"/>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9"/>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9"/>
      <c r="Q28" s="1351" t="str">
        <f t="shared" si="8"/>
        <v>毗邻道路的类型与等级</v>
      </c>
      <c r="R28" s="705" t="s">
        <v>14</v>
      </c>
      <c r="S28" s="706">
        <f t="shared" si="10"/>
        <v>100</v>
      </c>
      <c r="T28" s="705" t="s">
        <v>14</v>
      </c>
      <c r="U28" s="706">
        <f t="shared" si="11"/>
        <v>100</v>
      </c>
      <c r="V28" s="705" t="s">
        <v>14</v>
      </c>
      <c r="W28" s="706">
        <f t="shared" si="12"/>
        <v>100</v>
      </c>
      <c r="X28" s="1354"/>
      <c r="Y28" s="367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79"/>
      <c r="Q29" s="1351"/>
      <c r="R29" s="705"/>
      <c r="S29" s="706"/>
      <c r="T29" s="705"/>
      <c r="U29" s="706"/>
      <c r="V29" s="705"/>
      <c r="W29" s="706"/>
      <c r="X29" s="1354"/>
      <c r="Y29" s="367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9"/>
      <c r="Q30" s="1351" t="str">
        <f t="shared" si="8"/>
        <v>土地级别</v>
      </c>
      <c r="R30" s="705" t="s">
        <v>14</v>
      </c>
      <c r="S30" s="706">
        <f t="shared" si="10"/>
        <v>100</v>
      </c>
      <c r="T30" s="705" t="s">
        <v>14</v>
      </c>
      <c r="U30" s="706">
        <f t="shared" si="11"/>
        <v>100</v>
      </c>
      <c r="V30" s="705" t="s">
        <v>14</v>
      </c>
      <c r="W30" s="706">
        <f t="shared" si="12"/>
        <v>100</v>
      </c>
      <c r="X30" s="1354"/>
      <c r="Y30" s="3679"/>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9"/>
      <c r="Q31" s="1351">
        <f t="shared" si="8"/>
        <v>111</v>
      </c>
      <c r="R31" s="705" t="s">
        <v>14</v>
      </c>
      <c r="S31" s="706">
        <f t="shared" si="10"/>
        <v>100</v>
      </c>
      <c r="T31" s="705" t="s">
        <v>14</v>
      </c>
      <c r="U31" s="706">
        <f t="shared" si="11"/>
        <v>100</v>
      </c>
      <c r="V31" s="705" t="s">
        <v>14</v>
      </c>
      <c r="W31" s="706">
        <f t="shared" si="12"/>
        <v>100</v>
      </c>
      <c r="X31" s="1354"/>
      <c r="Y31" s="3679"/>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7" t="s">
        <v>1696</v>
      </c>
      <c r="Q32" s="1351">
        <f t="shared" si="8"/>
        <v>111</v>
      </c>
      <c r="R32" s="705" t="s">
        <v>14</v>
      </c>
      <c r="S32" s="706">
        <f t="shared" si="10"/>
        <v>100</v>
      </c>
      <c r="T32" s="705" t="s">
        <v>14</v>
      </c>
      <c r="U32" s="706">
        <f t="shared" si="11"/>
        <v>100</v>
      </c>
      <c r="V32" s="705" t="s">
        <v>14</v>
      </c>
      <c r="W32" s="706">
        <f t="shared" si="12"/>
        <v>100</v>
      </c>
      <c r="X32" s="1354"/>
      <c r="Y32" s="3683"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3"/>
      <c r="Q33" s="1351">
        <f t="shared" si="8"/>
        <v>111</v>
      </c>
      <c r="R33" s="708" t="s">
        <v>14</v>
      </c>
      <c r="S33" s="709">
        <f t="shared" si="10"/>
        <v>100</v>
      </c>
      <c r="T33" s="708" t="s">
        <v>14</v>
      </c>
      <c r="U33" s="709">
        <f t="shared" si="11"/>
        <v>100</v>
      </c>
      <c r="V33" s="708" t="s">
        <v>14</v>
      </c>
      <c r="W33" s="709">
        <f t="shared" si="12"/>
        <v>100</v>
      </c>
      <c r="X33" s="710"/>
      <c r="Y33" s="368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3"/>
      <c r="Q34" s="1351" t="str">
        <f>B34</f>
        <v>宗地面积</v>
      </c>
      <c r="R34" s="705" t="s">
        <v>14</v>
      </c>
      <c r="S34" s="706" t="e">
        <f t="shared" si="10"/>
        <v>#N/A</v>
      </c>
      <c r="T34" s="705" t="s">
        <v>14</v>
      </c>
      <c r="U34" s="706" t="e">
        <f t="shared" si="11"/>
        <v>#N/A</v>
      </c>
      <c r="V34" s="705" t="s">
        <v>14</v>
      </c>
      <c r="W34" s="706"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3"/>
      <c r="Q35" s="1351" t="str">
        <f t="shared" ref="Q35:Q40" si="14">B35</f>
        <v>宗地形状</v>
      </c>
      <c r="R35" s="705" t="s">
        <v>14</v>
      </c>
      <c r="S35" s="706">
        <f t="shared" si="10"/>
        <v>100</v>
      </c>
      <c r="T35" s="705" t="s">
        <v>14</v>
      </c>
      <c r="U35" s="706">
        <f t="shared" si="11"/>
        <v>100</v>
      </c>
      <c r="V35" s="705" t="s">
        <v>14</v>
      </c>
      <c r="W35" s="706">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3"/>
      <c r="Q36" s="1351"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3" t="s">
        <v>1696</v>
      </c>
      <c r="Q37" s="1351" t="str">
        <f t="shared" si="14"/>
        <v>工程地质条件</v>
      </c>
      <c r="R37" s="705" t="s">
        <v>14</v>
      </c>
      <c r="S37" s="706">
        <f t="shared" si="10"/>
        <v>100</v>
      </c>
      <c r="T37" s="705" t="s">
        <v>14</v>
      </c>
      <c r="U37" s="706">
        <f t="shared" si="11"/>
        <v>100</v>
      </c>
      <c r="V37" s="705" t="s">
        <v>14</v>
      </c>
      <c r="W37" s="706">
        <f t="shared" si="12"/>
        <v>100</v>
      </c>
      <c r="X37" s="1354"/>
      <c r="Y37" s="368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3"/>
      <c r="Q38" s="1351">
        <f t="shared" si="14"/>
        <v>111</v>
      </c>
      <c r="R38" s="705" t="s">
        <v>14</v>
      </c>
      <c r="S38" s="706">
        <f t="shared" si="10"/>
        <v>100</v>
      </c>
      <c r="T38" s="705" t="s">
        <v>14</v>
      </c>
      <c r="U38" s="706">
        <f t="shared" si="11"/>
        <v>100</v>
      </c>
      <c r="V38" s="705" t="s">
        <v>14</v>
      </c>
      <c r="W38" s="706">
        <f t="shared" si="12"/>
        <v>100</v>
      </c>
      <c r="X38" s="1354"/>
      <c r="Y38" s="368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3"/>
      <c r="Q39" s="1351">
        <f t="shared" si="14"/>
        <v>111</v>
      </c>
      <c r="R39" s="705" t="s">
        <v>14</v>
      </c>
      <c r="S39" s="706">
        <f t="shared" si="10"/>
        <v>100</v>
      </c>
      <c r="T39" s="705" t="s">
        <v>14</v>
      </c>
      <c r="U39" s="706">
        <f t="shared" si="11"/>
        <v>100</v>
      </c>
      <c r="V39" s="705" t="s">
        <v>14</v>
      </c>
      <c r="W39" s="706">
        <f t="shared" si="12"/>
        <v>100</v>
      </c>
      <c r="X39" s="1354"/>
      <c r="Y39" s="3683"/>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3"/>
      <c r="Q40" s="1351">
        <f t="shared" si="14"/>
        <v>111</v>
      </c>
      <c r="R40" s="708" t="s">
        <v>14</v>
      </c>
      <c r="S40" s="709">
        <f t="shared" si="10"/>
        <v>100</v>
      </c>
      <c r="T40" s="708" t="s">
        <v>14</v>
      </c>
      <c r="U40" s="709">
        <f t="shared" si="11"/>
        <v>100</v>
      </c>
      <c r="V40" s="708" t="s">
        <v>14</v>
      </c>
      <c r="W40" s="709">
        <f t="shared" si="12"/>
        <v>100</v>
      </c>
      <c r="X40" s="710"/>
      <c r="Y40" s="3683"/>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6" t="str">
        <f>A42</f>
        <v>比较价值（元/平方米）</v>
      </c>
      <c r="Q42" s="3676"/>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73" t="str">
        <f>A43</f>
        <v>估价对象XX用房的比较价值（楼面单价，元/平方米）</v>
      </c>
      <c r="Q43" s="3674"/>
      <c r="R43" s="3760" t="e">
        <f>ROUND(IF(D42="简单平均",AVERAGE(R42:W42),R42*F42+T42*H42+V42*J42),0)</f>
        <v>#DIV/0!</v>
      </c>
      <c r="S43" s="3760"/>
      <c r="T43" s="3760"/>
      <c r="U43" s="3760"/>
      <c r="V43" s="3760"/>
      <c r="W43" s="376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1" t="s">
        <v>1887</v>
      </c>
      <c r="H50" s="3761"/>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56.8</v>
      </c>
      <c r="F51" s="639" t="e">
        <f t="shared" ref="F51:F60" si="15">ROUND(B51*E51/10000,0)</f>
        <v>#DIV/0!</v>
      </c>
      <c r="G51" s="3687"/>
      <c r="H51" s="367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8"/>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3" t="s">
        <v>3261</v>
      </c>
      <c r="B20" s="167" t="s">
        <v>1994</v>
      </c>
      <c r="C20" s="3322" t="e">
        <f>ROUND(IF(F21="与级别开发程度一致",0,(G21-E21)/C21),0)</f>
        <v>#DIV/0!</v>
      </c>
      <c r="D20" s="3338" t="s">
        <v>1998</v>
      </c>
      <c r="E20" s="3339"/>
      <c r="F20" s="3789" t="s">
        <v>1995</v>
      </c>
      <c r="G20" s="3790"/>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4"/>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45131</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87"/>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88"/>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8"/>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5" t="s">
        <v>3301</v>
      </c>
      <c r="B103" s="3785"/>
      <c r="C103" s="3785"/>
      <c r="D103" s="3785"/>
      <c r="E103" s="3785"/>
      <c r="F103" s="3785"/>
      <c r="G103" s="3785"/>
      <c r="H103" s="3785"/>
      <c r="I103" s="3785"/>
      <c r="J103" s="3785"/>
      <c r="K103" s="3387"/>
      <c r="L103" s="3387"/>
      <c r="M103" s="3387"/>
      <c r="N103" s="3387"/>
    </row>
    <row r="104" spans="1:14">
      <c r="A104" s="3786" t="s">
        <v>3302</v>
      </c>
      <c r="B104" s="3786" t="s">
        <v>3303</v>
      </c>
      <c r="C104" s="3388" t="s">
        <v>3304</v>
      </c>
      <c r="D104" s="3389"/>
      <c r="E104" s="3389"/>
      <c r="F104" s="3389"/>
      <c r="G104" s="3389"/>
      <c r="H104" s="3389"/>
      <c r="I104" s="3389"/>
      <c r="J104" s="3390"/>
      <c r="K104" s="3391"/>
      <c r="L104" s="3391"/>
      <c r="M104" s="3391"/>
      <c r="N104" s="3391"/>
    </row>
    <row r="105" spans="1:14">
      <c r="A105" s="3786"/>
      <c r="B105" s="3786"/>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2"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3"/>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5" t="s">
        <v>3318</v>
      </c>
      <c r="B113" s="3775"/>
      <c r="C113" s="3775"/>
      <c r="D113" s="3775"/>
      <c r="E113" s="3775"/>
      <c r="F113" s="3775"/>
      <c r="G113" s="3775"/>
      <c r="H113" s="3775"/>
      <c r="I113" s="3775"/>
      <c r="J113" s="377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00" t="s">
        <v>2610</v>
      </c>
      <c r="B20" s="3795" t="s">
        <v>2631</v>
      </c>
      <c r="C20" s="3100" t="s">
        <v>2442</v>
      </c>
      <c r="D20" s="3101"/>
      <c r="E20" s="3102">
        <v>1</v>
      </c>
      <c r="F20" s="3103" t="s">
        <v>2443</v>
      </c>
      <c r="G20" s="3103"/>
    </row>
    <row r="21" spans="1:13" ht="19.5" customHeight="1">
      <c r="A21" s="3801"/>
      <c r="B21" s="3794"/>
      <c r="C21" s="3104" t="s">
        <v>2444</v>
      </c>
      <c r="D21" s="3105"/>
      <c r="E21" s="3106">
        <v>1</v>
      </c>
      <c r="F21" s="3103" t="s">
        <v>2445</v>
      </c>
      <c r="G21" s="3103"/>
    </row>
    <row r="22" spans="1:13" ht="19.5" customHeight="1">
      <c r="A22" s="3801"/>
      <c r="B22" s="3794"/>
      <c r="C22" s="3104" t="s">
        <v>2446</v>
      </c>
      <c r="D22" s="3105"/>
      <c r="E22" s="3106">
        <v>0.9</v>
      </c>
      <c r="F22" s="3103" t="s">
        <v>2447</v>
      </c>
      <c r="G22" s="3103"/>
    </row>
    <row r="23" spans="1:13" ht="19.5" customHeight="1">
      <c r="A23" s="3801"/>
      <c r="B23" s="3794"/>
      <c r="C23" s="3104" t="s">
        <v>2448</v>
      </c>
      <c r="D23" s="3105"/>
      <c r="E23" s="3106">
        <v>0.9</v>
      </c>
      <c r="F23" s="3103" t="s">
        <v>2449</v>
      </c>
      <c r="G23" s="3103"/>
    </row>
    <row r="24" spans="1:13" ht="19.5" customHeight="1">
      <c r="A24" s="3801"/>
      <c r="B24" s="3794"/>
      <c r="C24" s="3104" t="s">
        <v>2450</v>
      </c>
      <c r="D24" s="3105"/>
      <c r="E24" s="3106">
        <v>0.8</v>
      </c>
      <c r="F24" s="3103" t="s">
        <v>2451</v>
      </c>
      <c r="G24" s="3103"/>
    </row>
    <row r="25" spans="1:13" ht="19.5" customHeight="1" thickBot="1">
      <c r="A25" s="3802"/>
      <c r="B25" s="3796"/>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97" t="s">
        <v>2634</v>
      </c>
      <c r="B27" s="3795" t="s">
        <v>2615</v>
      </c>
      <c r="C27" s="3100" t="s">
        <v>2455</v>
      </c>
      <c r="D27" s="3101"/>
      <c r="E27" s="3102">
        <v>1</v>
      </c>
      <c r="F27" s="3103" t="s">
        <v>2456</v>
      </c>
      <c r="G27" s="3103"/>
    </row>
    <row r="28" spans="1:13" ht="19.5" customHeight="1">
      <c r="A28" s="3798"/>
      <c r="B28" s="3794"/>
      <c r="C28" s="3104" t="s">
        <v>2457</v>
      </c>
      <c r="D28" s="3105"/>
      <c r="E28" s="3106">
        <v>1</v>
      </c>
      <c r="F28" s="3103" t="s">
        <v>2458</v>
      </c>
      <c r="G28" s="3103"/>
    </row>
    <row r="29" spans="1:13" ht="19.5" customHeight="1">
      <c r="A29" s="3798"/>
      <c r="B29" s="3794"/>
      <c r="C29" s="3104" t="s">
        <v>2459</v>
      </c>
      <c r="D29" s="3105"/>
      <c r="E29" s="3106">
        <v>0.8</v>
      </c>
      <c r="F29" s="3103" t="s">
        <v>2460</v>
      </c>
      <c r="G29" s="3103"/>
    </row>
    <row r="30" spans="1:13" ht="19.5" customHeight="1">
      <c r="A30" s="3798"/>
      <c r="B30" s="3794"/>
      <c r="C30" s="3104" t="s">
        <v>2461</v>
      </c>
      <c r="D30" s="3105"/>
      <c r="E30" s="3106">
        <v>0.8</v>
      </c>
      <c r="F30" s="3103" t="s">
        <v>2462</v>
      </c>
      <c r="G30" s="3103"/>
    </row>
    <row r="31" spans="1:13" ht="19.5" customHeight="1">
      <c r="A31" s="3798"/>
      <c r="B31" s="3794"/>
      <c r="C31" s="3104" t="s">
        <v>2463</v>
      </c>
      <c r="D31" s="3105"/>
      <c r="E31" s="3106">
        <v>0.8</v>
      </c>
      <c r="F31" s="3103" t="s">
        <v>2464</v>
      </c>
      <c r="G31" s="3103"/>
    </row>
    <row r="32" spans="1:13" ht="19.5" customHeight="1">
      <c r="A32" s="3798"/>
      <c r="B32" s="3794"/>
      <c r="C32" s="3104" t="s">
        <v>2465</v>
      </c>
      <c r="D32" s="3105"/>
      <c r="E32" s="3106">
        <v>0.7</v>
      </c>
      <c r="F32" s="3103" t="s">
        <v>2466</v>
      </c>
      <c r="G32" s="3103"/>
    </row>
    <row r="33" spans="1:7" ht="19.5" customHeight="1">
      <c r="A33" s="3798"/>
      <c r="B33" s="3794"/>
      <c r="C33" s="3104" t="s">
        <v>2467</v>
      </c>
      <c r="D33" s="3105"/>
      <c r="E33" s="3106">
        <v>0.8</v>
      </c>
      <c r="F33" s="3103" t="s">
        <v>2468</v>
      </c>
      <c r="G33" s="3103"/>
    </row>
    <row r="34" spans="1:7" ht="19.5" customHeight="1">
      <c r="A34" s="3798"/>
      <c r="B34" s="3794"/>
      <c r="C34" s="3104" t="s">
        <v>2469</v>
      </c>
      <c r="D34" s="3105"/>
      <c r="E34" s="3106">
        <v>0.6</v>
      </c>
      <c r="F34" s="3103" t="s">
        <v>2470</v>
      </c>
      <c r="G34" s="3103"/>
    </row>
    <row r="35" spans="1:7" ht="19.5" customHeight="1">
      <c r="A35" s="3798"/>
      <c r="B35" s="3794"/>
      <c r="C35" s="3104" t="s">
        <v>2471</v>
      </c>
      <c r="D35" s="3105"/>
      <c r="E35" s="3106">
        <v>0.2</v>
      </c>
      <c r="F35" s="3103" t="s">
        <v>2472</v>
      </c>
      <c r="G35" s="3103"/>
    </row>
    <row r="36" spans="1:7" ht="19.5" customHeight="1">
      <c r="A36" s="3798"/>
      <c r="B36" s="3794"/>
      <c r="C36" s="3104" t="s">
        <v>2473</v>
      </c>
      <c r="D36" s="3105"/>
      <c r="E36" s="3106">
        <v>0.2</v>
      </c>
      <c r="F36" s="3103" t="s">
        <v>2474</v>
      </c>
      <c r="G36" s="3103"/>
    </row>
    <row r="37" spans="1:7" ht="19.5" customHeight="1">
      <c r="A37" s="3798"/>
      <c r="B37" s="3792" t="s">
        <v>2635</v>
      </c>
      <c r="C37" s="3104" t="s">
        <v>2475</v>
      </c>
      <c r="D37" s="3105"/>
      <c r="E37" s="3106">
        <v>0.6</v>
      </c>
      <c r="F37" s="3103" t="s">
        <v>2476</v>
      </c>
      <c r="G37" s="3103"/>
    </row>
    <row r="38" spans="1:7" ht="19.5" customHeight="1">
      <c r="A38" s="3798"/>
      <c r="B38" s="3794"/>
      <c r="C38" s="3104" t="s">
        <v>2477</v>
      </c>
      <c r="D38" s="3105"/>
      <c r="E38" s="3106">
        <v>0.6</v>
      </c>
      <c r="F38" s="3103" t="s">
        <v>2478</v>
      </c>
      <c r="G38" s="3103"/>
    </row>
    <row r="39" spans="1:7" ht="19.5" customHeight="1" thickBot="1">
      <c r="A39" s="3799"/>
      <c r="B39" s="3796"/>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00" t="s">
        <v>2613</v>
      </c>
      <c r="B41" s="3795" t="s">
        <v>2637</v>
      </c>
      <c r="C41" s="3100" t="s">
        <v>2482</v>
      </c>
      <c r="D41" s="3101"/>
      <c r="E41" s="3102">
        <v>1</v>
      </c>
      <c r="F41" s="3103" t="s">
        <v>2483</v>
      </c>
      <c r="G41" s="3103"/>
    </row>
    <row r="42" spans="1:7" ht="19.5" customHeight="1">
      <c r="A42" s="3801"/>
      <c r="B42" s="3794"/>
      <c r="C42" s="3104" t="s">
        <v>2484</v>
      </c>
      <c r="D42" s="3105"/>
      <c r="E42" s="3106">
        <v>1</v>
      </c>
      <c r="F42" s="3103" t="s">
        <v>2485</v>
      </c>
      <c r="G42" s="3103"/>
    </row>
    <row r="43" spans="1:7" ht="19.5" customHeight="1">
      <c r="A43" s="3801"/>
      <c r="B43" s="3793"/>
      <c r="C43" s="3104" t="s">
        <v>2486</v>
      </c>
      <c r="D43" s="3105"/>
      <c r="E43" s="3106">
        <v>1.5</v>
      </c>
      <c r="F43" s="3103" t="s">
        <v>2487</v>
      </c>
      <c r="G43" s="3103"/>
    </row>
    <row r="44" spans="1:7" ht="19.5" customHeight="1">
      <c r="A44" s="3801"/>
      <c r="B44" s="3115" t="s">
        <v>2638</v>
      </c>
      <c r="C44" s="3104" t="s">
        <v>2639</v>
      </c>
      <c r="D44" s="3105"/>
      <c r="E44" s="3106">
        <v>2</v>
      </c>
      <c r="F44" s="3103" t="s">
        <v>2488</v>
      </c>
      <c r="G44" s="3103"/>
    </row>
    <row r="45" spans="1:7" ht="19.5" customHeight="1">
      <c r="A45" s="3801"/>
      <c r="B45" s="3792" t="s">
        <v>2640</v>
      </c>
      <c r="C45" s="3104" t="s">
        <v>2489</v>
      </c>
      <c r="D45" s="3105"/>
      <c r="E45" s="3106">
        <v>1</v>
      </c>
      <c r="F45" s="3103" t="s">
        <v>2490</v>
      </c>
      <c r="G45" s="3103"/>
    </row>
    <row r="46" spans="1:7" ht="19.5" customHeight="1">
      <c r="A46" s="3801"/>
      <c r="B46" s="3794"/>
      <c r="C46" s="3104" t="s">
        <v>2491</v>
      </c>
      <c r="D46" s="3105"/>
      <c r="E46" s="3106">
        <v>1</v>
      </c>
      <c r="F46" s="3103" t="s">
        <v>2492</v>
      </c>
      <c r="G46" s="3103"/>
    </row>
    <row r="47" spans="1:7" ht="19.5" customHeight="1">
      <c r="A47" s="3801"/>
      <c r="B47" s="3794"/>
      <c r="C47" s="3104" t="s">
        <v>2493</v>
      </c>
      <c r="D47" s="3105"/>
      <c r="E47" s="3106">
        <v>1</v>
      </c>
      <c r="F47" s="3103" t="s">
        <v>2494</v>
      </c>
      <c r="G47" s="3103"/>
    </row>
    <row r="48" spans="1:7" ht="19.5" customHeight="1">
      <c r="A48" s="3801"/>
      <c r="B48" s="3794"/>
      <c r="C48" s="3104" t="s">
        <v>2495</v>
      </c>
      <c r="D48" s="3105"/>
      <c r="E48" s="3106">
        <v>1</v>
      </c>
      <c r="F48" s="3103" t="s">
        <v>2496</v>
      </c>
      <c r="G48" s="3103"/>
    </row>
    <row r="49" spans="1:7" ht="19.5" customHeight="1">
      <c r="A49" s="3801"/>
      <c r="B49" s="3794"/>
      <c r="C49" s="3104" t="s">
        <v>2497</v>
      </c>
      <c r="D49" s="3105"/>
      <c r="E49" s="3106">
        <v>1</v>
      </c>
      <c r="F49" s="3103" t="s">
        <v>2498</v>
      </c>
      <c r="G49" s="3103"/>
    </row>
    <row r="50" spans="1:7" ht="19.5" customHeight="1">
      <c r="A50" s="3801"/>
      <c r="B50" s="3794"/>
      <c r="C50" s="3104" t="s">
        <v>2499</v>
      </c>
      <c r="D50" s="3105"/>
      <c r="E50" s="3106">
        <v>1</v>
      </c>
      <c r="F50" s="3103" t="s">
        <v>2500</v>
      </c>
      <c r="G50" s="3103"/>
    </row>
    <row r="51" spans="1:7" ht="19.5" customHeight="1" thickBot="1">
      <c r="A51" s="3802"/>
      <c r="B51" s="3796"/>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25">
      <c r="A72" s="3115"/>
      <c r="B72" s="3115"/>
      <c r="C72" s="3115" t="s">
        <v>2653</v>
      </c>
      <c r="D72" s="3115"/>
      <c r="E72" s="3115" t="s">
        <v>2624</v>
      </c>
      <c r="F72" s="3115" t="s">
        <v>2624</v>
      </c>
    </row>
    <row r="73" spans="1:7" ht="14.25">
      <c r="A73" s="3115">
        <v>1</v>
      </c>
      <c r="B73" s="3792" t="s">
        <v>2654</v>
      </c>
      <c r="C73" s="3089" t="s">
        <v>2655</v>
      </c>
      <c r="D73" s="3089" t="s">
        <v>2656</v>
      </c>
      <c r="E73" s="3115">
        <v>0.2</v>
      </c>
      <c r="F73" s="3115">
        <v>25</v>
      </c>
    </row>
    <row r="74" spans="1:7" ht="25.5">
      <c r="A74" s="3115">
        <v>2</v>
      </c>
      <c r="B74" s="3794"/>
      <c r="C74" s="3089" t="s">
        <v>2657</v>
      </c>
      <c r="D74" s="3089" t="s">
        <v>2658</v>
      </c>
      <c r="E74" s="3115">
        <v>0.2</v>
      </c>
      <c r="F74" s="3115">
        <v>25</v>
      </c>
    </row>
    <row r="75" spans="1:7" ht="25.5">
      <c r="A75" s="3115">
        <v>3</v>
      </c>
      <c r="B75" s="3794"/>
      <c r="C75" s="3089" t="s">
        <v>2659</v>
      </c>
      <c r="D75" s="3089" t="s">
        <v>2660</v>
      </c>
      <c r="E75" s="3115">
        <v>0.2</v>
      </c>
      <c r="F75" s="3115">
        <v>25</v>
      </c>
    </row>
    <row r="76" spans="1:7" ht="14.25">
      <c r="A76" s="3115">
        <v>4</v>
      </c>
      <c r="B76" s="3794"/>
      <c r="C76" s="3089" t="s">
        <v>2661</v>
      </c>
      <c r="D76" s="3089" t="s">
        <v>2662</v>
      </c>
      <c r="E76" s="3115">
        <v>0.15</v>
      </c>
      <c r="F76" s="3115">
        <v>20</v>
      </c>
    </row>
    <row r="77" spans="1:7" ht="25.5">
      <c r="A77" s="3115">
        <v>5</v>
      </c>
      <c r="B77" s="3794"/>
      <c r="C77" s="3089" t="s">
        <v>2663</v>
      </c>
      <c r="D77" s="3089" t="s">
        <v>2664</v>
      </c>
      <c r="E77" s="3115">
        <v>0.15</v>
      </c>
      <c r="F77" s="3115">
        <v>20</v>
      </c>
    </row>
    <row r="78" spans="1:7" ht="25.5">
      <c r="A78" s="3115">
        <v>6</v>
      </c>
      <c r="B78" s="3794"/>
      <c r="C78" s="3089" t="s">
        <v>2665</v>
      </c>
      <c r="D78" s="3089" t="s">
        <v>2666</v>
      </c>
      <c r="E78" s="3115">
        <v>0.15</v>
      </c>
      <c r="F78" s="3115">
        <v>20</v>
      </c>
    </row>
    <row r="79" spans="1:7" ht="25.5">
      <c r="A79" s="3115">
        <v>7</v>
      </c>
      <c r="B79" s="3794"/>
      <c r="C79" s="3089" t="s">
        <v>2667</v>
      </c>
      <c r="D79" s="3089" t="s">
        <v>2668</v>
      </c>
      <c r="E79" s="3115">
        <v>0.15</v>
      </c>
      <c r="F79" s="3115">
        <v>20</v>
      </c>
    </row>
    <row r="80" spans="1:7" ht="25.5">
      <c r="A80" s="3115">
        <v>8</v>
      </c>
      <c r="B80" s="3794"/>
      <c r="C80" s="3089" t="s">
        <v>2669</v>
      </c>
      <c r="D80" s="3089" t="s">
        <v>2670</v>
      </c>
      <c r="E80" s="3115">
        <v>0.1</v>
      </c>
      <c r="F80" s="3115">
        <v>15</v>
      </c>
    </row>
    <row r="81" spans="1:6" ht="25.5">
      <c r="A81" s="3115">
        <v>9</v>
      </c>
      <c r="B81" s="3794"/>
      <c r="C81" s="3089" t="s">
        <v>2671</v>
      </c>
      <c r="D81" s="3089" t="s">
        <v>2672</v>
      </c>
      <c r="E81" s="3115">
        <v>0.1</v>
      </c>
      <c r="F81" s="3115">
        <v>15</v>
      </c>
    </row>
    <row r="82" spans="1:6" ht="25.5">
      <c r="A82" s="3115">
        <v>10</v>
      </c>
      <c r="B82" s="3794"/>
      <c r="C82" s="3089" t="s">
        <v>2673</v>
      </c>
      <c r="D82" s="3089" t="s">
        <v>2674</v>
      </c>
      <c r="E82" s="3115">
        <v>0.1</v>
      </c>
      <c r="F82" s="3115">
        <v>15</v>
      </c>
    </row>
    <row r="83" spans="1:6" ht="25.5">
      <c r="A83" s="3115">
        <v>11</v>
      </c>
      <c r="B83" s="3794"/>
      <c r="C83" s="3089" t="s">
        <v>2675</v>
      </c>
      <c r="D83" s="3089" t="s">
        <v>2676</v>
      </c>
      <c r="E83" s="3115">
        <v>0.1</v>
      </c>
      <c r="F83" s="3115">
        <v>15</v>
      </c>
    </row>
    <row r="84" spans="1:6" ht="25.5">
      <c r="A84" s="3115">
        <v>12</v>
      </c>
      <c r="B84" s="3794"/>
      <c r="C84" s="3089" t="s">
        <v>2677</v>
      </c>
      <c r="D84" s="3089" t="s">
        <v>2678</v>
      </c>
      <c r="E84" s="3115">
        <v>0.1</v>
      </c>
      <c r="F84" s="3115">
        <v>15</v>
      </c>
    </row>
    <row r="85" spans="1:6" ht="14.25">
      <c r="A85" s="3115">
        <v>13</v>
      </c>
      <c r="B85" s="3794"/>
      <c r="C85" s="3089" t="s">
        <v>2679</v>
      </c>
      <c r="D85" s="3089" t="s">
        <v>2680</v>
      </c>
      <c r="E85" s="3115">
        <v>0.1</v>
      </c>
      <c r="F85" s="3115">
        <v>15</v>
      </c>
    </row>
    <row r="86" spans="1:6" ht="14.25">
      <c r="A86" s="3115">
        <v>14</v>
      </c>
      <c r="B86" s="3794"/>
      <c r="C86" s="3089" t="s">
        <v>2681</v>
      </c>
      <c r="D86" s="3089" t="s">
        <v>2682</v>
      </c>
      <c r="E86" s="3115">
        <v>0.1</v>
      </c>
      <c r="F86" s="3115">
        <v>15</v>
      </c>
    </row>
    <row r="87" spans="1:6" ht="14.25">
      <c r="A87" s="3115">
        <v>15</v>
      </c>
      <c r="B87" s="3794"/>
      <c r="C87" s="3089" t="s">
        <v>2683</v>
      </c>
      <c r="D87" s="3089" t="s">
        <v>2684</v>
      </c>
      <c r="E87" s="3115">
        <v>0.1</v>
      </c>
      <c r="F87" s="3115">
        <v>15</v>
      </c>
    </row>
    <row r="88" spans="1:6" ht="25.5">
      <c r="A88" s="3115">
        <v>16</v>
      </c>
      <c r="B88" s="3794"/>
      <c r="C88" s="3089" t="s">
        <v>2685</v>
      </c>
      <c r="D88" s="3089" t="s">
        <v>2686</v>
      </c>
      <c r="E88" s="3115">
        <v>0.1</v>
      </c>
      <c r="F88" s="3115">
        <v>15</v>
      </c>
    </row>
    <row r="89" spans="1:6" ht="25.5">
      <c r="A89" s="3115">
        <v>17</v>
      </c>
      <c r="B89" s="3793"/>
      <c r="C89" s="3089" t="s">
        <v>2687</v>
      </c>
      <c r="D89" s="3089" t="s">
        <v>2688</v>
      </c>
      <c r="E89" s="3115">
        <v>0.1</v>
      </c>
      <c r="F89" s="3115">
        <v>15</v>
      </c>
    </row>
    <row r="90" spans="1:6" ht="14.25">
      <c r="A90" s="3115">
        <v>18</v>
      </c>
      <c r="B90" s="3792" t="s">
        <v>2689</v>
      </c>
      <c r="C90" s="3089" t="s">
        <v>2690</v>
      </c>
      <c r="D90" s="3089" t="s">
        <v>2691</v>
      </c>
      <c r="E90" s="3115">
        <v>0.2</v>
      </c>
      <c r="F90" s="3115">
        <v>25</v>
      </c>
    </row>
    <row r="91" spans="1:6" ht="25.5">
      <c r="A91" s="3115">
        <v>19</v>
      </c>
      <c r="B91" s="3794"/>
      <c r="C91" s="3089" t="s">
        <v>2692</v>
      </c>
      <c r="D91" s="3089" t="s">
        <v>2693</v>
      </c>
      <c r="E91" s="3115">
        <v>0.2</v>
      </c>
      <c r="F91" s="3115">
        <v>25</v>
      </c>
    </row>
    <row r="92" spans="1:6" ht="14.25">
      <c r="A92" s="3115">
        <v>20</v>
      </c>
      <c r="B92" s="3794"/>
      <c r="C92" s="3089" t="s">
        <v>2694</v>
      </c>
      <c r="D92" s="3089" t="s">
        <v>2695</v>
      </c>
      <c r="E92" s="3115">
        <v>0.15</v>
      </c>
      <c r="F92" s="3115">
        <v>20</v>
      </c>
    </row>
    <row r="93" spans="1:6" ht="25.5">
      <c r="A93" s="3115">
        <v>21</v>
      </c>
      <c r="B93" s="3794"/>
      <c r="C93" s="3089" t="s">
        <v>2696</v>
      </c>
      <c r="D93" s="3089" t="s">
        <v>2697</v>
      </c>
      <c r="E93" s="3115">
        <v>0.15</v>
      </c>
      <c r="F93" s="3115">
        <v>20</v>
      </c>
    </row>
    <row r="94" spans="1:6" ht="25.5">
      <c r="A94" s="3115">
        <v>22</v>
      </c>
      <c r="B94" s="3794"/>
      <c r="C94" s="3089" t="s">
        <v>2698</v>
      </c>
      <c r="D94" s="3089" t="s">
        <v>2699</v>
      </c>
      <c r="E94" s="3115">
        <v>0.15</v>
      </c>
      <c r="F94" s="3115">
        <v>20</v>
      </c>
    </row>
    <row r="95" spans="1:6" ht="38.25">
      <c r="A95" s="3115">
        <v>23</v>
      </c>
      <c r="B95" s="3794"/>
      <c r="C95" s="3089" t="s">
        <v>2700</v>
      </c>
      <c r="D95" s="3089" t="s">
        <v>2701</v>
      </c>
      <c r="E95" s="3115">
        <v>0.15</v>
      </c>
      <c r="F95" s="3115">
        <v>20</v>
      </c>
    </row>
    <row r="96" spans="1:6" ht="14.25">
      <c r="A96" s="3115">
        <v>24</v>
      </c>
      <c r="B96" s="3794"/>
      <c r="C96" s="3089" t="s">
        <v>2702</v>
      </c>
      <c r="D96" s="3089" t="s">
        <v>2703</v>
      </c>
      <c r="E96" s="3115">
        <v>0.1</v>
      </c>
      <c r="F96" s="3115">
        <v>15</v>
      </c>
    </row>
    <row r="97" spans="1:6" ht="25.5">
      <c r="A97" s="3115">
        <v>25</v>
      </c>
      <c r="B97" s="3794"/>
      <c r="C97" s="3089" t="s">
        <v>2704</v>
      </c>
      <c r="D97" s="3089" t="s">
        <v>2705</v>
      </c>
      <c r="E97" s="3115">
        <v>0.1</v>
      </c>
      <c r="F97" s="3115">
        <v>15</v>
      </c>
    </row>
    <row r="98" spans="1:6" ht="25.5">
      <c r="A98" s="3115">
        <v>26</v>
      </c>
      <c r="B98" s="3794"/>
      <c r="C98" s="3089" t="s">
        <v>2706</v>
      </c>
      <c r="D98" s="3089" t="s">
        <v>2707</v>
      </c>
      <c r="E98" s="3115">
        <v>0.1</v>
      </c>
      <c r="F98" s="3115">
        <v>15</v>
      </c>
    </row>
    <row r="99" spans="1:6" ht="25.5">
      <c r="A99" s="3115">
        <v>27</v>
      </c>
      <c r="B99" s="3794"/>
      <c r="C99" s="3089" t="s">
        <v>2708</v>
      </c>
      <c r="D99" s="3089" t="s">
        <v>2709</v>
      </c>
      <c r="E99" s="3115">
        <v>0.1</v>
      </c>
      <c r="F99" s="3115">
        <v>15</v>
      </c>
    </row>
    <row r="100" spans="1:6" ht="25.5">
      <c r="A100" s="3115">
        <v>28</v>
      </c>
      <c r="B100" s="3794"/>
      <c r="C100" s="3089" t="s">
        <v>2710</v>
      </c>
      <c r="D100" s="3089" t="s">
        <v>2711</v>
      </c>
      <c r="E100" s="3115">
        <v>0.1</v>
      </c>
      <c r="F100" s="3115">
        <v>15</v>
      </c>
    </row>
    <row r="101" spans="1:6" ht="25.5">
      <c r="A101" s="3115">
        <v>29</v>
      </c>
      <c r="B101" s="3794"/>
      <c r="C101" s="3089" t="s">
        <v>2712</v>
      </c>
      <c r="D101" s="3089" t="s">
        <v>2713</v>
      </c>
      <c r="E101" s="3115">
        <v>0.1</v>
      </c>
      <c r="F101" s="3115">
        <v>15</v>
      </c>
    </row>
    <row r="102" spans="1:6" ht="25.5">
      <c r="A102" s="3115">
        <v>30</v>
      </c>
      <c r="B102" s="3794"/>
      <c r="C102" s="3089" t="s">
        <v>2714</v>
      </c>
      <c r="D102" s="3089" t="s">
        <v>2715</v>
      </c>
      <c r="E102" s="3115">
        <v>0.1</v>
      </c>
      <c r="F102" s="3115">
        <v>15</v>
      </c>
    </row>
    <row r="103" spans="1:6" ht="25.5">
      <c r="A103" s="3115">
        <v>31</v>
      </c>
      <c r="B103" s="3794"/>
      <c r="C103" s="3089" t="s">
        <v>2716</v>
      </c>
      <c r="D103" s="3089" t="s">
        <v>2717</v>
      </c>
      <c r="E103" s="3115">
        <v>0.1</v>
      </c>
      <c r="F103" s="3115">
        <v>15</v>
      </c>
    </row>
    <row r="104" spans="1:6" ht="25.5">
      <c r="A104" s="3115">
        <v>32</v>
      </c>
      <c r="B104" s="3794"/>
      <c r="C104" s="3089" t="s">
        <v>2718</v>
      </c>
      <c r="D104" s="3089" t="s">
        <v>2719</v>
      </c>
      <c r="E104" s="3115">
        <v>0.1</v>
      </c>
      <c r="F104" s="3115">
        <v>15</v>
      </c>
    </row>
    <row r="105" spans="1:6" ht="25.5">
      <c r="A105" s="3115">
        <v>33</v>
      </c>
      <c r="B105" s="3794"/>
      <c r="C105" s="3089" t="s">
        <v>2720</v>
      </c>
      <c r="D105" s="3089" t="s">
        <v>2721</v>
      </c>
      <c r="E105" s="3115">
        <v>0.1</v>
      </c>
      <c r="F105" s="3115">
        <v>15</v>
      </c>
    </row>
    <row r="106" spans="1:6" ht="25.5">
      <c r="A106" s="3115">
        <v>34</v>
      </c>
      <c r="B106" s="3793"/>
      <c r="C106" s="3089" t="s">
        <v>2722</v>
      </c>
      <c r="D106" s="3089" t="s">
        <v>2723</v>
      </c>
      <c r="E106" s="3115">
        <v>0.1</v>
      </c>
      <c r="F106" s="3115">
        <v>15</v>
      </c>
    </row>
    <row r="107" spans="1:6" ht="25.5">
      <c r="A107" s="3115">
        <v>35</v>
      </c>
      <c r="B107" s="3792" t="s">
        <v>2724</v>
      </c>
      <c r="C107" s="3115" t="s">
        <v>2725</v>
      </c>
      <c r="D107" s="3089" t="s">
        <v>2726</v>
      </c>
      <c r="E107" s="3115">
        <v>0.15</v>
      </c>
      <c r="F107" s="3115">
        <v>20</v>
      </c>
    </row>
    <row r="108" spans="1:6" ht="25.5">
      <c r="A108" s="3115">
        <v>36</v>
      </c>
      <c r="B108" s="3794"/>
      <c r="C108" s="3115" t="s">
        <v>2727</v>
      </c>
      <c r="D108" s="3089" t="s">
        <v>2728</v>
      </c>
      <c r="E108" s="3115">
        <v>0.15</v>
      </c>
      <c r="F108" s="3115">
        <v>20</v>
      </c>
    </row>
    <row r="109" spans="1:6" ht="25.5">
      <c r="A109" s="3115">
        <v>37</v>
      </c>
      <c r="B109" s="3794"/>
      <c r="C109" s="3115" t="s">
        <v>2729</v>
      </c>
      <c r="D109" s="3089" t="s">
        <v>2730</v>
      </c>
      <c r="E109" s="3115">
        <v>0.15</v>
      </c>
      <c r="F109" s="3115">
        <v>20</v>
      </c>
    </row>
    <row r="110" spans="1:6" ht="14.25">
      <c r="A110" s="3115">
        <v>38</v>
      </c>
      <c r="B110" s="3794"/>
      <c r="C110" s="3115" t="s">
        <v>2731</v>
      </c>
      <c r="D110" s="3089" t="s">
        <v>2732</v>
      </c>
      <c r="E110" s="3115">
        <v>0.1</v>
      </c>
      <c r="F110" s="3115">
        <v>15</v>
      </c>
    </row>
    <row r="111" spans="1:6" ht="25.5">
      <c r="A111" s="3115">
        <v>39</v>
      </c>
      <c r="B111" s="3794"/>
      <c r="C111" s="3115" t="s">
        <v>2733</v>
      </c>
      <c r="D111" s="3089" t="s">
        <v>2734</v>
      </c>
      <c r="E111" s="3115">
        <v>0.1</v>
      </c>
      <c r="F111" s="3115">
        <v>15</v>
      </c>
    </row>
    <row r="112" spans="1:6" ht="25.5">
      <c r="A112" s="3115">
        <v>40</v>
      </c>
      <c r="B112" s="3793"/>
      <c r="C112" s="3115" t="s">
        <v>2735</v>
      </c>
      <c r="D112" s="3089" t="s">
        <v>2736</v>
      </c>
      <c r="E112" s="3115">
        <v>0.1</v>
      </c>
      <c r="F112" s="3115">
        <v>15</v>
      </c>
    </row>
    <row r="113" spans="1:6" ht="25.5">
      <c r="A113" s="3115">
        <v>41</v>
      </c>
      <c r="B113" s="3791" t="s">
        <v>2737</v>
      </c>
      <c r="C113" s="3115" t="s">
        <v>2738</v>
      </c>
      <c r="D113" s="3089" t="s">
        <v>2739</v>
      </c>
      <c r="E113" s="3115">
        <v>0.1</v>
      </c>
      <c r="F113" s="3115">
        <v>15</v>
      </c>
    </row>
    <row r="114" spans="1:6" ht="14.25">
      <c r="A114" s="3115">
        <v>42</v>
      </c>
      <c r="B114" s="3791"/>
      <c r="C114" s="3115" t="s">
        <v>2740</v>
      </c>
      <c r="D114" s="3089" t="s">
        <v>2741</v>
      </c>
      <c r="E114" s="3115">
        <v>0.1</v>
      </c>
      <c r="F114" s="3115">
        <v>15</v>
      </c>
    </row>
    <row r="115" spans="1:6" ht="25.5">
      <c r="A115" s="3115">
        <v>43</v>
      </c>
      <c r="B115" s="3791"/>
      <c r="C115" s="3115" t="s">
        <v>2742</v>
      </c>
      <c r="D115" s="3089" t="s">
        <v>2743</v>
      </c>
      <c r="E115" s="3115">
        <v>0.1</v>
      </c>
      <c r="F115" s="3115">
        <v>15</v>
      </c>
    </row>
    <row r="116" spans="1:6" ht="25.5">
      <c r="A116" s="3115">
        <v>44</v>
      </c>
      <c r="B116" s="3792" t="s">
        <v>2744</v>
      </c>
      <c r="C116" s="3115" t="s">
        <v>2745</v>
      </c>
      <c r="D116" s="3089" t="s">
        <v>2746</v>
      </c>
      <c r="E116" s="3115">
        <v>0.1</v>
      </c>
      <c r="F116" s="3115">
        <v>15</v>
      </c>
    </row>
    <row r="117" spans="1:6" ht="25.5">
      <c r="A117" s="3115">
        <v>45</v>
      </c>
      <c r="B117" s="3793"/>
      <c r="C117" s="3089" t="s">
        <v>2747</v>
      </c>
      <c r="D117" s="3089" t="s">
        <v>2748</v>
      </c>
      <c r="E117" s="3115">
        <v>0.1</v>
      </c>
      <c r="F117" s="3115">
        <v>15</v>
      </c>
    </row>
    <row r="118" spans="1:6" ht="25.5">
      <c r="A118" s="3115">
        <v>46</v>
      </c>
      <c r="B118" s="3792" t="s">
        <v>2749</v>
      </c>
      <c r="C118" s="3115" t="s">
        <v>2750</v>
      </c>
      <c r="D118" s="3089" t="s">
        <v>2751</v>
      </c>
      <c r="E118" s="3115">
        <v>0.1</v>
      </c>
      <c r="F118" s="3115">
        <v>15</v>
      </c>
    </row>
    <row r="119" spans="1:6" ht="25.5">
      <c r="A119" s="3115">
        <v>47</v>
      </c>
      <c r="B119" s="3793"/>
      <c r="C119" s="3115" t="s">
        <v>2752</v>
      </c>
      <c r="D119" s="3089" t="s">
        <v>2753</v>
      </c>
      <c r="E119" s="3115">
        <v>0.1</v>
      </c>
      <c r="F119" s="3115">
        <v>15</v>
      </c>
    </row>
    <row r="120" spans="1:6" ht="25.5">
      <c r="A120" s="3115">
        <v>48</v>
      </c>
      <c r="B120" s="3792" t="s">
        <v>2754</v>
      </c>
      <c r="C120" s="3115" t="s">
        <v>2755</v>
      </c>
      <c r="D120" s="3089" t="s">
        <v>2756</v>
      </c>
      <c r="E120" s="3115">
        <v>0.1</v>
      </c>
      <c r="F120" s="3115">
        <v>15</v>
      </c>
    </row>
    <row r="121" spans="1:6" ht="14.25">
      <c r="A121" s="3115">
        <v>49</v>
      </c>
      <c r="B121" s="3793"/>
      <c r="C121" s="3115" t="s">
        <v>2757</v>
      </c>
      <c r="D121" s="3089" t="s">
        <v>2758</v>
      </c>
      <c r="E121" s="3115">
        <v>0.1</v>
      </c>
      <c r="F121" s="3115">
        <v>15</v>
      </c>
    </row>
    <row r="122" spans="1:6" ht="25.5">
      <c r="A122" s="3115">
        <v>50</v>
      </c>
      <c r="B122" s="3791" t="s">
        <v>2759</v>
      </c>
      <c r="C122" s="3115" t="s">
        <v>2760</v>
      </c>
      <c r="D122" s="3089" t="s">
        <v>2761</v>
      </c>
      <c r="E122" s="3115">
        <v>0.1</v>
      </c>
      <c r="F122" s="3115">
        <v>15</v>
      </c>
    </row>
    <row r="123" spans="1:6" ht="25.5">
      <c r="A123" s="3115">
        <v>51</v>
      </c>
      <c r="B123" s="3791"/>
      <c r="C123" s="3115" t="s">
        <v>2762</v>
      </c>
      <c r="D123" s="3089" t="s">
        <v>2763</v>
      </c>
      <c r="E123" s="3115">
        <v>0.1</v>
      </c>
      <c r="F123" s="3115">
        <v>15</v>
      </c>
    </row>
    <row r="124" spans="1:6" ht="25.5">
      <c r="A124" s="3115">
        <v>52</v>
      </c>
      <c r="B124" s="3791" t="s">
        <v>2764</v>
      </c>
      <c r="C124" s="3115" t="s">
        <v>2765</v>
      </c>
      <c r="D124" s="3089" t="s">
        <v>2766</v>
      </c>
      <c r="E124" s="3115">
        <v>0.1</v>
      </c>
      <c r="F124" s="3115">
        <v>15</v>
      </c>
    </row>
    <row r="125" spans="1:6" ht="25.5">
      <c r="A125" s="3115">
        <v>53</v>
      </c>
      <c r="B125" s="3791"/>
      <c r="C125" s="3115" t="s">
        <v>2767</v>
      </c>
      <c r="D125" s="3089" t="s">
        <v>2768</v>
      </c>
      <c r="E125" s="3115">
        <v>0.1</v>
      </c>
      <c r="F125" s="3115">
        <v>15</v>
      </c>
    </row>
    <row r="126" spans="1:6" ht="25.5">
      <c r="A126" s="3115">
        <v>54</v>
      </c>
      <c r="B126" s="3115" t="s">
        <v>2769</v>
      </c>
      <c r="C126" s="3115" t="s">
        <v>2770</v>
      </c>
      <c r="D126" s="3089" t="s">
        <v>2771</v>
      </c>
      <c r="E126" s="3115">
        <v>0.1</v>
      </c>
      <c r="F126" s="3115">
        <v>15</v>
      </c>
    </row>
    <row r="127" spans="1:6" ht="14.25">
      <c r="A127" s="3115">
        <v>55</v>
      </c>
      <c r="B127" s="3791" t="s">
        <v>2772</v>
      </c>
      <c r="C127" s="3115" t="s">
        <v>2773</v>
      </c>
      <c r="D127" s="3089" t="s">
        <v>2774</v>
      </c>
      <c r="E127" s="3115">
        <v>0.1</v>
      </c>
      <c r="F127" s="3115">
        <v>15</v>
      </c>
    </row>
    <row r="128" spans="1:6" ht="14.25">
      <c r="A128" s="3115">
        <v>56</v>
      </c>
      <c r="B128" s="3791"/>
      <c r="C128" s="3115" t="s">
        <v>2775</v>
      </c>
      <c r="D128" s="3089" t="s">
        <v>2776</v>
      </c>
      <c r="E128" s="3115">
        <v>0.1</v>
      </c>
      <c r="F128" s="3115">
        <v>15</v>
      </c>
    </row>
    <row r="129" spans="1:6" ht="25.5">
      <c r="A129" s="3115">
        <v>57</v>
      </c>
      <c r="B129" s="3791"/>
      <c r="C129" s="3115" t="s">
        <v>2777</v>
      </c>
      <c r="D129" s="3089" t="s">
        <v>2778</v>
      </c>
      <c r="E129" s="3115">
        <v>0.1</v>
      </c>
      <c r="F129" s="3115">
        <v>15</v>
      </c>
    </row>
    <row r="130" spans="1:6" ht="25.5">
      <c r="A130" s="3115">
        <v>58</v>
      </c>
      <c r="B130" s="3791" t="s">
        <v>2779</v>
      </c>
      <c r="C130" s="3115" t="s">
        <v>2780</v>
      </c>
      <c r="D130" s="3089" t="s">
        <v>2781</v>
      </c>
      <c r="E130" s="3115">
        <v>0.1</v>
      </c>
      <c r="F130" s="3115">
        <v>15</v>
      </c>
    </row>
    <row r="131" spans="1:6" ht="25.5">
      <c r="A131" s="3115">
        <v>59</v>
      </c>
      <c r="B131" s="3791"/>
      <c r="C131" s="3115" t="s">
        <v>2782</v>
      </c>
      <c r="D131" s="3089" t="s">
        <v>2783</v>
      </c>
      <c r="E131" s="3115">
        <v>0.1</v>
      </c>
      <c r="F131" s="3115">
        <v>15</v>
      </c>
    </row>
    <row r="132" spans="1:6" ht="25.5">
      <c r="A132" s="3115">
        <v>60</v>
      </c>
      <c r="B132" s="3792" t="s">
        <v>2784</v>
      </c>
      <c r="C132" s="3115" t="s">
        <v>2785</v>
      </c>
      <c r="D132" s="3089" t="s">
        <v>2786</v>
      </c>
      <c r="E132" s="3115">
        <v>0.1</v>
      </c>
      <c r="F132" s="3115">
        <v>15</v>
      </c>
    </row>
    <row r="133" spans="1:6" ht="25.5">
      <c r="A133" s="3115">
        <v>61</v>
      </c>
      <c r="B133" s="3793"/>
      <c r="C133" s="3115" t="s">
        <v>2787</v>
      </c>
      <c r="D133" s="3089" t="s">
        <v>2788</v>
      </c>
      <c r="E133" s="3115">
        <v>0.1</v>
      </c>
      <c r="F133" s="3115">
        <v>15</v>
      </c>
    </row>
    <row r="134" spans="1:6" ht="25.5">
      <c r="A134" s="3115">
        <v>62</v>
      </c>
      <c r="B134" s="3115" t="s">
        <v>2789</v>
      </c>
      <c r="C134" s="3115" t="s">
        <v>2790</v>
      </c>
      <c r="D134" s="3089" t="s">
        <v>2791</v>
      </c>
      <c r="E134" s="3115">
        <v>0.1</v>
      </c>
      <c r="F134" s="3115">
        <v>15</v>
      </c>
    </row>
    <row r="135" spans="1:6" ht="25.5">
      <c r="A135" s="3115">
        <v>63</v>
      </c>
      <c r="B135" s="3791" t="s">
        <v>2792</v>
      </c>
      <c r="C135" s="3115" t="s">
        <v>2793</v>
      </c>
      <c r="D135" s="3089" t="s">
        <v>2794</v>
      </c>
      <c r="E135" s="3115">
        <v>0.1</v>
      </c>
      <c r="F135" s="3115">
        <v>15</v>
      </c>
    </row>
    <row r="136" spans="1:6" ht="14.25">
      <c r="A136" s="3115">
        <v>64</v>
      </c>
      <c r="B136" s="3791"/>
      <c r="C136" s="3115" t="s">
        <v>2795</v>
      </c>
      <c r="D136" s="3089" t="s">
        <v>2796</v>
      </c>
      <c r="E136" s="3115">
        <v>0.1</v>
      </c>
      <c r="F136" s="3115">
        <v>15</v>
      </c>
    </row>
    <row r="137" spans="1:6" ht="25.5">
      <c r="A137" s="3115">
        <v>65</v>
      </c>
      <c r="B137" s="3115" t="s">
        <v>2797</v>
      </c>
      <c r="C137" s="3115" t="s">
        <v>2798</v>
      </c>
      <c r="D137" s="3089" t="s">
        <v>2799</v>
      </c>
      <c r="E137" s="3115">
        <v>0.1</v>
      </c>
      <c r="F137" s="3115">
        <v>15</v>
      </c>
    </row>
    <row r="138" spans="1:6" ht="14.2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估价结果一览表（市场价值不需“结果表-1”）</v>
      </c>
      <c r="B3" s="3488"/>
      <c r="C3" s="3488"/>
      <c r="D3" s="3488"/>
      <c r="E3" s="3488"/>
    </row>
    <row r="4" spans="1:5" ht="19.5" thickBot="1">
      <c r="A4" s="1492"/>
      <c r="B4" s="3486" t="s">
        <v>917</v>
      </c>
      <c r="C4" s="3486"/>
      <c r="D4" s="3486"/>
      <c r="E4" s="1492"/>
    </row>
    <row r="5" spans="1:5" ht="16.5" thickTop="1">
      <c r="A5" s="1490"/>
      <c r="B5" s="3484" t="s">
        <v>909</v>
      </c>
      <c r="C5" s="1493" t="s">
        <v>910</v>
      </c>
      <c r="D5" s="850" t="e">
        <f ca="1">结果表!H101</f>
        <v>#REF!</v>
      </c>
      <c r="E5" s="1490"/>
    </row>
    <row r="6" spans="1:5" ht="15.75">
      <c r="A6" s="1490"/>
      <c r="B6" s="3484"/>
      <c r="C6" s="1493" t="s">
        <v>911</v>
      </c>
      <c r="D6" s="850" t="e">
        <f ca="1">NUMBERSTRING(INT(D5*10000),2)&amp;"元整"</f>
        <v>#REF!</v>
      </c>
      <c r="E6" s="1490"/>
    </row>
    <row r="7" spans="1:5" ht="15.75">
      <c r="A7" s="1490"/>
      <c r="B7" s="3489"/>
      <c r="C7" s="1494" t="s">
        <v>912</v>
      </c>
      <c r="D7" s="851" t="e">
        <f ca="1">结果表!H102</f>
        <v>#REF!</v>
      </c>
      <c r="E7" s="1490"/>
    </row>
    <row r="8" spans="1:5" ht="15.75">
      <c r="A8" s="1490"/>
      <c r="B8" s="3490" t="str">
        <f>结果表!E103</f>
        <v>2.估价师知悉的法定优先受偿款</v>
      </c>
      <c r="C8" s="1495" t="s">
        <v>913</v>
      </c>
      <c r="D8" s="851">
        <f>结果表!H103</f>
        <v>0</v>
      </c>
      <c r="E8" s="1490"/>
    </row>
    <row r="9" spans="1:5" ht="15.75">
      <c r="A9" s="1490"/>
      <c r="B9" s="349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3" t="str">
        <f>结果表!E107</f>
        <v>3.房地产抵押价值</v>
      </c>
      <c r="C13" s="1498" t="s">
        <v>910</v>
      </c>
      <c r="D13" s="853" t="e">
        <f ca="1">结果表!H107</f>
        <v>#REF!</v>
      </c>
      <c r="E13" s="1490"/>
    </row>
    <row r="14" spans="1:5" ht="15.75">
      <c r="A14" s="1490"/>
      <c r="B14" s="3484"/>
      <c r="C14" s="1493" t="s">
        <v>911</v>
      </c>
      <c r="D14" s="850" t="e">
        <f ca="1">NUMBERSTRING(INT(D13*10000),2)&amp;"元整"</f>
        <v>#REF!</v>
      </c>
      <c r="E14" s="1490"/>
    </row>
    <row r="15" spans="1:5" ht="15">
      <c r="A15" s="1490"/>
      <c r="B15" s="3489"/>
      <c r="C15" s="1494" t="s">
        <v>921</v>
      </c>
      <c r="D15" s="859" t="e">
        <f ca="1">结果表!H108</f>
        <v>#REF!</v>
      </c>
      <c r="E15" s="1490"/>
    </row>
    <row r="16" spans="1:5" ht="15">
      <c r="A16" s="1490"/>
      <c r="B16" s="3490" t="str">
        <f>结果表!E109</f>
        <v>——</v>
      </c>
      <c r="C16" s="1498" t="s">
        <v>922</v>
      </c>
      <c r="D16" s="1499" t="str">
        <f>结果表!H109</f>
        <v>——</v>
      </c>
      <c r="E16" s="1490"/>
    </row>
    <row r="17" spans="1:5" ht="15.75">
      <c r="A17" s="1490"/>
      <c r="B17" s="3491"/>
      <c r="C17" s="1493" t="s">
        <v>923</v>
      </c>
      <c r="D17" s="850" t="e">
        <f>NUMBERSTRING(INT(D16*10000),2)&amp;"元整"</f>
        <v>#VALUE!</v>
      </c>
      <c r="E17" s="1490"/>
    </row>
    <row r="18" spans="1:5" ht="15">
      <c r="A18" s="1490"/>
      <c r="B18" s="3492"/>
      <c r="C18" s="1494" t="s">
        <v>912</v>
      </c>
      <c r="D18" s="859" t="str">
        <f>结果表!H110</f>
        <v>——</v>
      </c>
      <c r="E18" s="1490"/>
    </row>
    <row r="19" spans="1:5" ht="15.75">
      <c r="A19" s="1490"/>
      <c r="B19" s="3483" t="str">
        <f>结果表!E111</f>
        <v>——</v>
      </c>
      <c r="C19" s="1498" t="s">
        <v>910</v>
      </c>
      <c r="D19" s="851" t="str">
        <f>结果表!H111</f>
        <v>——</v>
      </c>
      <c r="E19" s="1490"/>
    </row>
    <row r="20" spans="1:5" ht="15.75">
      <c r="A20" s="1490"/>
      <c r="B20" s="3484"/>
      <c r="C20" s="1493" t="s">
        <v>923</v>
      </c>
      <c r="D20" s="850" t="e">
        <f>NUMBERSTRING(INT(D19*10000),2)&amp;"元整"</f>
        <v>#VALUE!</v>
      </c>
      <c r="E20" s="1490"/>
    </row>
    <row r="21" spans="1:5" ht="15.75" thickBot="1">
      <c r="A21" s="1490"/>
      <c r="B21" s="348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2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29617</v>
      </c>
      <c r="C2" s="2" t="s">
        <v>106</v>
      </c>
      <c r="D2" s="199"/>
      <c r="E2" s="199"/>
      <c r="F2" s="199"/>
      <c r="G2" s="199"/>
    </row>
    <row r="3" spans="1:7" s="200" customFormat="1" ht="18" customHeight="1" thickBot="1">
      <c r="A3" s="203" t="s">
        <v>58</v>
      </c>
      <c r="B3" s="204">
        <f ca="1">ROUND(B2*10000/'数据-汇总表'!E3,0)</f>
        <v>5214261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4.7500000000000001E-2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979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29617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2"/>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75" thickBot="1">
      <c r="A1" s="3805" t="s">
        <v>2846</v>
      </c>
      <c r="B1" s="3805"/>
      <c r="C1" s="3805"/>
      <c r="D1" s="3805"/>
      <c r="E1" s="3805"/>
      <c r="F1" s="3805"/>
      <c r="G1" s="3806"/>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75"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3"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75" thickBot="1">
      <c r="A4" s="3804"/>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75"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7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7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75"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75"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75"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4.25"/>
  <cols>
    <col min="1" max="1" width="12.625" style="3286" customWidth="1"/>
    <col min="2" max="2" width="20" style="3286" customWidth="1"/>
    <col min="3" max="7" width="8.875" style="3250"/>
    <col min="8" max="16384" width="8.875" style="3251"/>
  </cols>
  <sheetData>
    <row r="1" spans="1:7">
      <c r="A1" s="3807" t="s">
        <v>3188</v>
      </c>
      <c r="B1" s="3807"/>
    </row>
    <row r="2" spans="1:7" ht="15" thickBot="1">
      <c r="A2" s="3252"/>
      <c r="B2" s="3252"/>
    </row>
    <row r="3" spans="1:7" ht="15" thickBot="1">
      <c r="A3" s="3252"/>
      <c r="B3" s="3252"/>
      <c r="C3" s="3253" t="s">
        <v>2814</v>
      </c>
      <c r="D3" s="3253" t="s">
        <v>2874</v>
      </c>
      <c r="E3" s="3253" t="s">
        <v>2816</v>
      </c>
      <c r="F3" s="3253" t="s">
        <v>2875</v>
      </c>
      <c r="G3" s="3253" t="s">
        <v>2634</v>
      </c>
    </row>
    <row r="4" spans="1:7" ht="1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125" defaultRowHeight="14.25"/>
  <cols>
    <col min="1" max="16384" width="13.125" style="3287"/>
  </cols>
  <sheetData>
    <row r="1" spans="1:6">
      <c r="A1" s="3808" t="s">
        <v>3239</v>
      </c>
      <c r="B1" s="3808"/>
      <c r="C1" s="3808"/>
      <c r="D1" s="3808"/>
      <c r="E1" s="3808"/>
      <c r="F1" s="3809"/>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8">
        <f>基准地价修正!G23</f>
        <v>45131</v>
      </c>
      <c r="B1" s="3207" t="s">
        <v>2845</v>
      </c>
      <c r="C1" s="3208"/>
      <c r="D1" s="3208"/>
      <c r="E1" s="3208"/>
      <c r="F1" s="3208"/>
      <c r="G1" s="3208"/>
      <c r="H1" s="3208"/>
      <c r="I1" s="3208"/>
      <c r="J1" s="3162"/>
      <c r="K1" s="3208" t="s">
        <v>454</v>
      </c>
      <c r="L1" s="3208"/>
      <c r="M1" s="3208"/>
      <c r="N1" s="3208"/>
      <c r="O1" s="3208"/>
      <c r="P1" s="3208"/>
      <c r="Q1" s="3162"/>
      <c r="R1" s="3810" t="s">
        <v>456</v>
      </c>
      <c r="S1" s="3811"/>
      <c r="T1" s="3811"/>
      <c r="U1" s="3811"/>
      <c r="V1" s="3811"/>
      <c r="W1" s="3811"/>
      <c r="X1" s="3162"/>
      <c r="Y1" s="3810" t="s">
        <v>457</v>
      </c>
      <c r="Z1" s="3811"/>
      <c r="AA1" s="3811"/>
      <c r="AB1" s="3811"/>
      <c r="AC1" s="3811"/>
      <c r="AD1" s="3811"/>
    </row>
    <row r="2" spans="1:30" s="3140" customFormat="1"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5"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10" t="s">
        <v>2833</v>
      </c>
      <c r="S21" s="3811"/>
      <c r="T21" s="3811"/>
      <c r="U21" s="3811"/>
      <c r="V21" s="3811"/>
      <c r="W21" s="3811"/>
      <c r="X21" s="3162"/>
      <c r="Y21" s="3810" t="s">
        <v>2834</v>
      </c>
      <c r="Z21" s="3811"/>
      <c r="AA21" s="3811"/>
      <c r="AB21" s="3811"/>
      <c r="AC21" s="3811"/>
      <c r="AD21" s="3811"/>
    </row>
    <row r="22" spans="1:30" s="3140" customFormat="1"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5"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ColWidth="8.875" defaultRowHeight="14.2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5" thickBot="1">
      <c r="A1" s="1294"/>
      <c r="B1" s="1301" t="s">
        <v>602</v>
      </c>
      <c r="C1" s="1295">
        <f>项目基本情况!D3</f>
        <v>45131</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7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7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
      <c r="A3" s="3496"/>
      <c r="B3" s="3496"/>
      <c r="C3" s="3496"/>
      <c r="D3" s="854" t="s">
        <v>925</v>
      </c>
      <c r="E3" s="854" t="s">
        <v>931</v>
      </c>
      <c r="F3" s="854" t="s">
        <v>925</v>
      </c>
      <c r="G3" s="854" t="s">
        <v>926</v>
      </c>
      <c r="H3" s="854" t="s">
        <v>925</v>
      </c>
      <c r="I3" s="854" t="s">
        <v>926</v>
      </c>
    </row>
    <row r="4" spans="1:9" ht="15">
      <c r="A4" s="1504" t="str">
        <f>项目基本情况!S2</f>
        <v>北京市房地产</v>
      </c>
      <c r="B4" s="854">
        <f>项目基本情况!C17</f>
        <v>56.8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75">
      <c r="A6" s="3495" t="str">
        <f>结果表!A120</f>
        <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
      </c>
      <c r="B8" s="3495"/>
      <c r="C8" s="3495"/>
      <c r="D8" s="3495" t="e">
        <f ca="1">结果表!D122</f>
        <v>#REF!</v>
      </c>
      <c r="E8" s="3495"/>
      <c r="F8" s="3495"/>
      <c r="G8" s="3495"/>
      <c r="H8" s="3495"/>
      <c r="I8" s="3495"/>
    </row>
    <row r="9" spans="1:9" ht="15">
      <c r="A9" s="3496" t="s">
        <v>927</v>
      </c>
      <c r="B9" s="3496"/>
      <c r="C9" s="3496"/>
      <c r="D9" s="3496" t="e">
        <f ca="1">结果表!D123</f>
        <v>#REF!</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2" t="str">
        <f>IF(项目基本情况!B8="抵押","3.抵押双方在办理抵押登记手续时，应使用本公司出具的正式《房地产评估报告》，特提醒报告使用者注意。","——")</f>
        <v>——</v>
      </c>
      <c r="B13" s="3507"/>
      <c r="C13" s="3507"/>
      <c r="D13" s="3507"/>
    </row>
    <row r="14" spans="1:4" ht="15.75" customHeight="1">
      <c r="A14" s="3502" t="str">
        <f>IF(项目基本情况!B8="抵押","4.本次评估估价师所知悉的法定优先受偿款情况说明如下：","——")</f>
        <v>——</v>
      </c>
      <c r="B14" s="3507"/>
      <c r="C14" s="3507"/>
      <c r="D14" s="3507"/>
    </row>
    <row r="15" spans="1:4" ht="42" customHeight="1">
      <c r="A15" s="3502" t="str">
        <f>IF(项目基本情况!B8="抵押","（1）"&amp;CONCATENATE(项目基本情况!L20,项目基本情况!L21,项目基本情况!L22),"——")</f>
        <v>——</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4" customWidth="1"/>
    <col min="3" max="10" width="12.5" style="1474" customWidth="1"/>
    <col min="11" max="16384" width="9" style="1474"/>
  </cols>
  <sheetData>
    <row r="1" spans="1:10" ht="18">
      <c r="A1" s="1507" t="s">
        <v>391</v>
      </c>
      <c r="B1" s="1518"/>
      <c r="C1" s="1518"/>
      <c r="D1" s="1518"/>
      <c r="E1" s="1518"/>
      <c r="F1" s="1518"/>
      <c r="G1" s="1518"/>
      <c r="H1" s="1518"/>
      <c r="I1" s="1518"/>
      <c r="J1" s="1518"/>
    </row>
    <row r="2" spans="1:10" ht="18">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4" customWidth="1"/>
    <col min="2" max="16384" width="14.5" style="1506"/>
  </cols>
  <sheetData>
    <row r="1" spans="1:7" s="1521" customFormat="1" ht="18">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25">
      <c r="A15" s="3516" t="s">
        <v>956</v>
      </c>
      <c r="B15" s="3511" t="s">
        <v>109</v>
      </c>
      <c r="C15" s="3512"/>
    </row>
    <row r="16" spans="1:7" ht="14.25">
      <c r="A16" s="3517"/>
      <c r="B16" s="3511" t="s">
        <v>42</v>
      </c>
      <c r="C16" s="3512"/>
    </row>
    <row r="17" spans="1:3" ht="14.25">
      <c r="A17" s="3517"/>
      <c r="B17" s="3514" t="s">
        <v>957</v>
      </c>
      <c r="C17" s="1531" t="s">
        <v>956</v>
      </c>
    </row>
    <row r="18" spans="1:3" ht="14.25">
      <c r="A18" s="3517"/>
      <c r="B18" s="3514"/>
      <c r="C18" s="1531" t="s">
        <v>958</v>
      </c>
    </row>
    <row r="19" spans="1:3" ht="14.25">
      <c r="A19" s="3517"/>
      <c r="B19" s="3514"/>
      <c r="C19" s="1531" t="s">
        <v>959</v>
      </c>
    </row>
    <row r="20" spans="1:3" ht="14.25">
      <c r="A20" s="3518"/>
      <c r="B20" s="3513" t="s">
        <v>960</v>
      </c>
      <c r="C20" s="3512"/>
    </row>
    <row r="21" spans="1:3" ht="14.25">
      <c r="A21" s="1532" t="s">
        <v>961</v>
      </c>
      <c r="B21" s="1533"/>
      <c r="C21" s="1534"/>
    </row>
    <row r="22" spans="1:3" ht="14.25">
      <c r="A22" s="3515" t="s">
        <v>962</v>
      </c>
      <c r="B22" s="3513" t="s">
        <v>963</v>
      </c>
      <c r="C22" s="3512"/>
    </row>
    <row r="23" spans="1:3" ht="14.25">
      <c r="A23" s="3515"/>
      <c r="B23" s="3513" t="s">
        <v>964</v>
      </c>
      <c r="C23" s="3512"/>
    </row>
    <row r="24" spans="1:3" ht="14.25">
      <c r="A24" s="3515"/>
      <c r="B24" s="3513" t="s">
        <v>965</v>
      </c>
      <c r="C24" s="3512"/>
    </row>
    <row r="25" spans="1:3" ht="14.25">
      <c r="A25" s="3515"/>
      <c r="B25" s="3514" t="s">
        <v>966</v>
      </c>
      <c r="C25" s="1531" t="s">
        <v>967</v>
      </c>
    </row>
    <row r="26" spans="1:3" ht="14.25">
      <c r="A26" s="3515"/>
      <c r="B26" s="3514"/>
      <c r="C26" s="1531" t="s">
        <v>968</v>
      </c>
    </row>
    <row r="27" spans="1:3" ht="14.25">
      <c r="A27" s="3515"/>
      <c r="B27" s="3514"/>
      <c r="C27" s="1531" t="s">
        <v>969</v>
      </c>
    </row>
    <row r="28" spans="1:3" ht="14.25">
      <c r="A28" s="3515"/>
      <c r="B28" s="3514"/>
      <c r="C28" s="1531" t="s">
        <v>970</v>
      </c>
    </row>
    <row r="29" spans="1:3" ht="14.25">
      <c r="A29" s="3515"/>
      <c r="B29" s="3514"/>
      <c r="C29" s="1531" t="s">
        <v>971</v>
      </c>
    </row>
    <row r="30" spans="1:3" ht="14.25">
      <c r="A30" s="3515"/>
      <c r="B30" s="3514"/>
      <c r="C30" s="1531" t="s">
        <v>972</v>
      </c>
    </row>
    <row r="31" spans="1:3" ht="14.25">
      <c r="A31" s="3515"/>
      <c r="B31" s="3514"/>
      <c r="C31" s="1531" t="s">
        <v>973</v>
      </c>
    </row>
    <row r="32" spans="1:3" ht="14.25">
      <c r="A32" s="3515"/>
      <c r="B32" s="3514"/>
      <c r="C32" s="1531" t="s">
        <v>974</v>
      </c>
    </row>
    <row r="33" spans="1:3" ht="14.25">
      <c r="A33" s="3515"/>
      <c r="B33" s="3514"/>
      <c r="C33" s="1531" t="s">
        <v>975</v>
      </c>
    </row>
    <row r="34" spans="1:3">
      <c r="A34" s="1535" t="s">
        <v>49</v>
      </c>
    </row>
    <row r="37" spans="1:3">
      <c r="A37" s="1535" t="s">
        <v>976</v>
      </c>
    </row>
    <row r="38" spans="1:3" ht="14.25">
      <c r="A38" s="1536" t="s">
        <v>50</v>
      </c>
    </row>
    <row r="39" spans="1:3" ht="14.25">
      <c r="A39" s="1536" t="s">
        <v>51</v>
      </c>
    </row>
    <row r="40" spans="1:3" ht="14.25">
      <c r="A40" s="1536" t="s">
        <v>52</v>
      </c>
    </row>
    <row r="41" spans="1:3" ht="14.25">
      <c r="A41" s="1537" t="s">
        <v>53</v>
      </c>
    </row>
    <row r="42" spans="1:3" ht="14.2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45147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0"/>
      <c r="E18" s="3521" t="s">
        <v>2162</v>
      </c>
      <c r="F18" s="3520"/>
      <c r="G18" s="3520"/>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2023-08-09T02:38:29Z</dcterms:modified>
</cp:coreProperties>
</file>