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KG\Desktop\司法红莲南里\"/>
    </mc:Choice>
  </mc:AlternateContent>
  <xr:revisionPtr revIDLastSave="0" documentId="13_ncr:1_{C5952C5F-1400-4927-A0E8-C164BB285AC5}" xr6:coauthVersionLast="45" xr6:coauthVersionMax="45" xr10:uidLastSave="{00000000-0000-0000-0000-000000000000}"/>
  <bookViews>
    <workbookView xWindow="-120" yWindow="-120" windowWidth="20730" windowHeight="1116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收益法 (元)" sheetId="67" r:id="rId22"/>
    <sheet name="租金案例" sheetId="81" r:id="rId23"/>
    <sheet name="比较法-住宅" sheetId="21" r:id="rId24"/>
    <sheet name="成交案例" sheetId="80" r:id="rId25"/>
    <sheet name="系统读取表" sheetId="74"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3">'比较法-住宅'!$A$1:$K$54,'比较法-住宅'!$A$57:$M$131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25">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'比较法-住宅'!$B$88:$O$88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41" i="21" l="1"/>
  <c r="G7" i="21"/>
  <c r="I7" i="21"/>
  <c r="G47" i="21"/>
  <c r="I47" i="21"/>
  <c r="E47" i="21"/>
  <c r="I44" i="21"/>
  <c r="E44" i="21"/>
  <c r="I41" i="21"/>
  <c r="E41" i="21"/>
  <c r="E7" i="21"/>
  <c r="O8" i="80"/>
  <c r="O7" i="80"/>
  <c r="O6" i="80"/>
  <c r="O5" i="80"/>
  <c r="N31" i="81" l="1"/>
  <c r="N20" i="81"/>
  <c r="N12" i="81"/>
  <c r="N3" i="81"/>
  <c r="R47" i="21" l="1"/>
  <c r="O3" i="80"/>
  <c r="O4" i="80"/>
  <c r="O9" i="80"/>
  <c r="O2" i="80"/>
  <c r="D5" i="9"/>
  <c r="I5" i="21"/>
  <c r="G5" i="21"/>
  <c r="E5" i="21"/>
  <c r="E92" i="21"/>
  <c r="C92" i="21"/>
  <c r="I10" i="21"/>
  <c r="G10" i="21"/>
  <c r="E10" i="21"/>
  <c r="D66" i="21"/>
  <c r="E66" i="21" s="1"/>
  <c r="F66" i="21" s="1"/>
  <c r="G66" i="21" s="1"/>
  <c r="H66" i="21" s="1"/>
  <c r="I66" i="21" s="1"/>
  <c r="Y6" i="1"/>
  <c r="B59" i="1"/>
  <c r="F19" i="6"/>
  <c r="D3" i="4"/>
  <c r="L26" i="79"/>
  <c r="M26" i="79"/>
  <c r="P26" i="79" s="1"/>
  <c r="N26" i="79"/>
  <c r="L27" i="79"/>
  <c r="M27" i="79"/>
  <c r="N27" i="79"/>
  <c r="L28" i="79"/>
  <c r="M28" i="79"/>
  <c r="N28" i="79"/>
  <c r="I26" i="79"/>
  <c r="I27" i="79"/>
  <c r="I28" i="79"/>
  <c r="I6" i="79"/>
  <c r="I7" i="79"/>
  <c r="I8" i="79"/>
  <c r="K6" i="79"/>
  <c r="L6" i="79"/>
  <c r="M6" i="79"/>
  <c r="N6" i="79"/>
  <c r="O6" i="79"/>
  <c r="K7" i="79"/>
  <c r="L7" i="79"/>
  <c r="M7" i="79"/>
  <c r="N7" i="79"/>
  <c r="O7" i="79"/>
  <c r="K8" i="79"/>
  <c r="L8" i="79"/>
  <c r="M8" i="79"/>
  <c r="N8" i="79"/>
  <c r="O8" i="79"/>
  <c r="B10" i="74"/>
  <c r="AH5" i="71"/>
  <c r="AG5" i="71"/>
  <c r="AE5" i="71"/>
  <c r="AF5" i="7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c r="AD7" i="71"/>
  <c r="AB7" i="71"/>
  <c r="AA7" i="71"/>
  <c r="Y7" i="71"/>
  <c r="Z7" i="71" s="1"/>
  <c r="X7" i="71"/>
  <c r="Q7" i="71"/>
  <c r="P7" i="71"/>
  <c r="O7" i="71"/>
  <c r="N7" i="71"/>
  <c r="B3" i="78"/>
  <c r="C7" i="78" s="1"/>
  <c r="D7" i="78" s="1"/>
  <c r="F13" i="1"/>
  <c r="G13" i="1" s="1"/>
  <c r="D13" i="1"/>
  <c r="D12" i="1"/>
  <c r="D11" i="1"/>
  <c r="D10" i="1"/>
  <c r="D9" i="1"/>
  <c r="D8" i="1"/>
  <c r="D7" i="1"/>
  <c r="D6" i="1"/>
  <c r="I2"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G2" i="43"/>
  <c r="C27" i="43"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c r="I34" i="79"/>
  <c r="AB33" i="79"/>
  <c r="AA33" i="79"/>
  <c r="Z33" i="79"/>
  <c r="N33" i="79"/>
  <c r="M33" i="79"/>
  <c r="T33" i="79" s="1"/>
  <c r="W33" i="79" s="1"/>
  <c r="L33" i="79"/>
  <c r="I33" i="79"/>
  <c r="AB32" i="79"/>
  <c r="AA32" i="79"/>
  <c r="Z32" i="79"/>
  <c r="N32" i="79"/>
  <c r="M32" i="79"/>
  <c r="T23" i="79" s="1"/>
  <c r="W23" i="79" s="1"/>
  <c r="L32" i="79"/>
  <c r="I32" i="79"/>
  <c r="AD32" i="79" s="1"/>
  <c r="AB31" i="79"/>
  <c r="AA31" i="79"/>
  <c r="Z31" i="79"/>
  <c r="N31" i="79"/>
  <c r="M31" i="79"/>
  <c r="T31" i="79"/>
  <c r="W31" i="79" s="1"/>
  <c r="L31" i="79"/>
  <c r="I31" i="79"/>
  <c r="AB30" i="79"/>
  <c r="AA30" i="79"/>
  <c r="Z30" i="79"/>
  <c r="N30" i="79"/>
  <c r="M30" i="79"/>
  <c r="L30" i="79"/>
  <c r="S30" i="79" s="1"/>
  <c r="I30" i="79"/>
  <c r="AB29" i="79"/>
  <c r="AA29" i="79"/>
  <c r="Z29" i="79"/>
  <c r="N29" i="79"/>
  <c r="U26" i="79" s="1"/>
  <c r="M29" i="79"/>
  <c r="L29" i="79"/>
  <c r="S28" i="79" s="1"/>
  <c r="I29" i="79"/>
  <c r="AB25" i="79"/>
  <c r="AA25" i="79"/>
  <c r="Z25" i="79"/>
  <c r="N25" i="79"/>
  <c r="U23" i="79"/>
  <c r="M25" i="79"/>
  <c r="L25" i="79"/>
  <c r="L23" i="79" s="1"/>
  <c r="I25" i="79"/>
  <c r="AD25" i="79" s="1"/>
  <c r="AB23" i="79"/>
  <c r="G23" i="79"/>
  <c r="F23" i="79"/>
  <c r="I23" i="79" s="1"/>
  <c r="E23" i="79"/>
  <c r="AC16" i="79"/>
  <c r="AB16" i="79"/>
  <c r="AA16" i="79"/>
  <c r="AD16" i="79" s="1"/>
  <c r="Z16" i="79"/>
  <c r="Y16" i="79"/>
  <c r="W16" i="79"/>
  <c r="O16" i="79"/>
  <c r="N16" i="79"/>
  <c r="M16" i="79"/>
  <c r="P16" i="79"/>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c r="Z14" i="79"/>
  <c r="Y14" i="79"/>
  <c r="O14" i="79"/>
  <c r="V14" i="79"/>
  <c r="N14" i="79"/>
  <c r="U14" i="79"/>
  <c r="M14" i="79"/>
  <c r="T14" i="79"/>
  <c r="W14" i="79" s="1"/>
  <c r="L14" i="79"/>
  <c r="K14" i="79"/>
  <c r="R14" i="79" s="1"/>
  <c r="I14" i="79"/>
  <c r="AC13" i="79"/>
  <c r="AB13" i="79"/>
  <c r="AA13" i="79"/>
  <c r="AD13" i="79" s="1"/>
  <c r="Z13" i="79"/>
  <c r="Y13" i="79"/>
  <c r="O13" i="79"/>
  <c r="V13" i="79" s="1"/>
  <c r="N13" i="79"/>
  <c r="M13" i="79"/>
  <c r="P13" i="79" s="1"/>
  <c r="L13" i="79"/>
  <c r="K13" i="79"/>
  <c r="I13" i="79"/>
  <c r="AC12" i="79"/>
  <c r="AB12" i="79"/>
  <c r="AA12" i="79"/>
  <c r="AD12" i="79" s="1"/>
  <c r="Z12" i="79"/>
  <c r="Y12" i="79"/>
  <c r="O12" i="79"/>
  <c r="V12" i="79" s="1"/>
  <c r="N12" i="79"/>
  <c r="U12" i="79"/>
  <c r="M12" i="79"/>
  <c r="L12" i="79"/>
  <c r="S12" i="79" s="1"/>
  <c r="K12" i="79"/>
  <c r="I12" i="79"/>
  <c r="AC11" i="79"/>
  <c r="AB11" i="79"/>
  <c r="AA11" i="79"/>
  <c r="AD11" i="79" s="1"/>
  <c r="Z11" i="79"/>
  <c r="Y11" i="79"/>
  <c r="O11" i="79"/>
  <c r="N11" i="79"/>
  <c r="M11" i="79"/>
  <c r="P11" i="79" s="1"/>
  <c r="L11" i="79"/>
  <c r="K11" i="79"/>
  <c r="I11" i="79"/>
  <c r="AC10" i="79"/>
  <c r="AB10" i="79"/>
  <c r="AA10" i="79"/>
  <c r="AD10" i="79"/>
  <c r="Z10" i="79"/>
  <c r="Y10" i="79"/>
  <c r="O10" i="79"/>
  <c r="N10" i="79"/>
  <c r="U10" i="79" s="1"/>
  <c r="M10" i="79"/>
  <c r="L10" i="79"/>
  <c r="L3" i="79" s="1"/>
  <c r="K10" i="79"/>
  <c r="I10" i="79"/>
  <c r="AC9" i="79"/>
  <c r="AB9" i="79"/>
  <c r="AA9" i="79"/>
  <c r="AD9" i="79" s="1"/>
  <c r="Z9" i="79"/>
  <c r="Y9" i="79"/>
  <c r="O9" i="79"/>
  <c r="V6" i="79" s="1"/>
  <c r="N9" i="79"/>
  <c r="M9" i="79"/>
  <c r="L9" i="79"/>
  <c r="K9" i="79"/>
  <c r="R7" i="79" s="1"/>
  <c r="I9" i="79"/>
  <c r="AC5" i="79"/>
  <c r="AC3" i="79" s="1"/>
  <c r="AB5" i="79"/>
  <c r="AA5" i="79"/>
  <c r="AD5" i="79" s="1"/>
  <c r="Z5" i="79"/>
  <c r="Y5" i="79"/>
  <c r="O5" i="79"/>
  <c r="N5" i="79"/>
  <c r="M5" i="79"/>
  <c r="P5" i="79" s="1"/>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U13" i="79"/>
  <c r="P9" i="79"/>
  <c r="M3" i="79"/>
  <c r="P3" i="79" s="1"/>
  <c r="S7" i="79"/>
  <c r="T10" i="79"/>
  <c r="W10" i="79" s="1"/>
  <c r="S11" i="79"/>
  <c r="T12" i="79"/>
  <c r="W12" i="79" s="1"/>
  <c r="R13" i="79"/>
  <c r="M23" i="79"/>
  <c r="P23" i="79" s="1"/>
  <c r="T25" i="79"/>
  <c r="W25" i="79" s="1"/>
  <c r="S27" i="79"/>
  <c r="U28" i="79"/>
  <c r="S31" i="79"/>
  <c r="T32" i="79"/>
  <c r="W32" i="79" s="1"/>
  <c r="S33" i="79"/>
  <c r="U33" i="79"/>
  <c r="AD34" i="79"/>
  <c r="R9" i="79"/>
  <c r="P12" i="79"/>
  <c r="P14" i="79"/>
  <c r="Z23" i="79"/>
  <c r="T30" i="79"/>
  <c r="W30" i="79" s="1"/>
  <c r="P10" i="79"/>
  <c r="S6" i="43"/>
  <c r="S4" i="43"/>
  <c r="E93" i="43"/>
  <c r="B91" i="43" s="1"/>
  <c r="N21" i="43"/>
  <c r="H116" i="43"/>
  <c r="F38" i="43"/>
  <c r="F40" i="43"/>
  <c r="F42" i="43"/>
  <c r="N1" i="43"/>
  <c r="M2" i="43"/>
  <c r="N2" i="43"/>
  <c r="M3" i="43"/>
  <c r="N3" i="43"/>
  <c r="M4" i="43"/>
  <c r="N4" i="43"/>
  <c r="M5" i="43"/>
  <c r="N5" i="43"/>
  <c r="F93" i="43"/>
  <c r="H97"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E23" i="78"/>
  <c r="G23" i="78" s="1"/>
  <c r="E22" i="78"/>
  <c r="G22" i="78" s="1"/>
  <c r="F12" i="78"/>
  <c r="F11" i="78"/>
  <c r="H100" i="43"/>
  <c r="H95" i="43"/>
  <c r="H98" i="43"/>
  <c r="H101" i="43"/>
  <c r="H96" i="43"/>
  <c r="B18" i="78"/>
  <c r="G14" i="73"/>
  <c r="F14" i="73"/>
  <c r="E14" i="73"/>
  <c r="G15" i="73"/>
  <c r="F15" i="73"/>
  <c r="E15" i="73"/>
  <c r="G16" i="73"/>
  <c r="F16" i="73"/>
  <c r="E16" i="73"/>
  <c r="G13" i="73"/>
  <c r="F13" i="73"/>
  <c r="E13" i="73"/>
  <c r="AH8" i="71"/>
  <c r="AG8" i="71"/>
  <c r="AE8" i="71"/>
  <c r="AF8" i="71"/>
  <c r="AD8" i="71"/>
  <c r="Q8" i="71"/>
  <c r="P8" i="71"/>
  <c r="O8" i="71"/>
  <c r="N8" i="71"/>
  <c r="R43" i="77"/>
  <c r="R40" i="77"/>
  <c r="R41" i="77"/>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D11" i="77" s="1"/>
  <c r="E11" i="77" s="1"/>
  <c r="E7" i="77" s="1"/>
  <c r="C27" i="77" s="1"/>
  <c r="R13" i="77"/>
  <c r="R12" i="77"/>
  <c r="D12" i="77"/>
  <c r="R11" i="77"/>
  <c r="R10" i="77"/>
  <c r="D10" i="77"/>
  <c r="R9" i="77"/>
  <c r="D9" i="77"/>
  <c r="D7" i="77" s="1"/>
  <c r="C26" i="77" s="1"/>
  <c r="R8" i="77"/>
  <c r="R7" i="77"/>
  <c r="R14" i="77" s="1"/>
  <c r="R4" i="77"/>
  <c r="R3" i="77"/>
  <c r="AH9" i="71"/>
  <c r="AG9" i="71"/>
  <c r="AE9" i="71"/>
  <c r="AF9" i="71" s="1"/>
  <c r="AD9" i="71"/>
  <c r="Q9" i="71"/>
  <c r="P9" i="71"/>
  <c r="O9" i="71"/>
  <c r="N9" i="71"/>
  <c r="AH10" i="71"/>
  <c r="AG10" i="71"/>
  <c r="AE10" i="71"/>
  <c r="AF10" i="71" s="1"/>
  <c r="AD10" i="71"/>
  <c r="Q10" i="71"/>
  <c r="P10" i="71"/>
  <c r="O10" i="71"/>
  <c r="N10" i="71"/>
  <c r="E24" i="43"/>
  <c r="Q32" i="43" s="1"/>
  <c r="P32" i="43"/>
  <c r="N32" i="43"/>
  <c r="AH11" i="71"/>
  <c r="AG11" i="71"/>
  <c r="AE11" i="71"/>
  <c r="AF11" i="71" s="1"/>
  <c r="AD11" i="71"/>
  <c r="Q11" i="71"/>
  <c r="P11" i="71"/>
  <c r="O11" i="71"/>
  <c r="N11" i="71"/>
  <c r="AH12" i="71"/>
  <c r="AG12" i="71"/>
  <c r="AE12" i="71"/>
  <c r="AF12" i="71" s="1"/>
  <c r="AD12" i="71"/>
  <c r="Q12" i="71"/>
  <c r="P12" i="71"/>
  <c r="O12" i="71"/>
  <c r="N12" i="71"/>
  <c r="AH13" i="71"/>
  <c r="AG13" i="71"/>
  <c r="AE13" i="71"/>
  <c r="AF13" i="71" s="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s="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P24" i="71"/>
  <c r="E24" i="71" s="1"/>
  <c r="E23" i="71" s="1"/>
  <c r="E22" i="71" s="1"/>
  <c r="O24" i="71"/>
  <c r="C24" i="71"/>
  <c r="C23" i="71" s="1"/>
  <c r="Q25" i="71"/>
  <c r="P25" i="71"/>
  <c r="AA25" i="71" s="1"/>
  <c r="O25" i="71"/>
  <c r="N25" i="71"/>
  <c r="A2" i="53"/>
  <c r="B19" i="72"/>
  <c r="K59" i="67"/>
  <c r="P61" i="67"/>
  <c r="K59" i="15"/>
  <c r="P74" i="15"/>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s="1"/>
  <c r="B54" i="72"/>
  <c r="E111" i="9"/>
  <c r="A126" i="9"/>
  <c r="A12" i="52" s="1"/>
  <c r="B56" i="72" s="1"/>
  <c r="E109" i="9"/>
  <c r="A124" i="9"/>
  <c r="A10" i="52" s="1"/>
  <c r="B55" i="72" s="1"/>
  <c r="B44" i="72"/>
  <c r="B42" i="72"/>
  <c r="B69" i="72"/>
  <c r="B68" i="72"/>
  <c r="B63" i="72"/>
  <c r="B62" i="72"/>
  <c r="B16" i="72"/>
  <c r="B65" i="72"/>
  <c r="B60"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D55" i="71" s="1"/>
  <c r="N53" i="71"/>
  <c r="B54"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c r="F48" i="71" s="1"/>
  <c r="V48" i="71" s="1"/>
  <c r="P45" i="71"/>
  <c r="E46" i="7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c r="O39" i="71"/>
  <c r="Y39" i="71"/>
  <c r="Z39" i="71" s="1"/>
  <c r="N39" i="71"/>
  <c r="Q38" i="71"/>
  <c r="AB38" i="71" s="1"/>
  <c r="P38" i="71"/>
  <c r="O38" i="71"/>
  <c r="Y38" i="71" s="1"/>
  <c r="Z38" i="71" s="1"/>
  <c r="N38" i="71"/>
  <c r="X38" i="71" s="1"/>
  <c r="Q37" i="71"/>
  <c r="F38" i="71" s="1"/>
  <c r="P37" i="71"/>
  <c r="O37" i="71"/>
  <c r="N37" i="71"/>
  <c r="D37" i="71"/>
  <c r="Q36" i="71"/>
  <c r="AB36" i="71" s="1"/>
  <c r="P36" i="71"/>
  <c r="AA36" i="71" s="1"/>
  <c r="O36" i="71"/>
  <c r="Y36" i="71" s="1"/>
  <c r="Z36" i="71" s="1"/>
  <c r="N36" i="71"/>
  <c r="Q35" i="71"/>
  <c r="P35" i="71"/>
  <c r="AA35" i="71" s="1"/>
  <c r="O35" i="71"/>
  <c r="Y35" i="71"/>
  <c r="Z35" i="71" s="1"/>
  <c r="N35" i="71"/>
  <c r="Q34" i="71"/>
  <c r="AB34" i="71" s="1"/>
  <c r="P34" i="71"/>
  <c r="O34" i="71"/>
  <c r="Y34" i="71" s="1"/>
  <c r="Z34" i="71" s="1"/>
  <c r="N34" i="71"/>
  <c r="X34" i="71" s="1"/>
  <c r="Q33" i="71"/>
  <c r="F34" i="71" s="1"/>
  <c r="F35" i="71" s="1"/>
  <c r="F36" i="71" s="1"/>
  <c r="V36" i="71" s="1"/>
  <c r="P33" i="71"/>
  <c r="E34" i="71" s="1"/>
  <c r="E35" i="71" s="1"/>
  <c r="E36" i="71" s="1"/>
  <c r="U36" i="71" s="1"/>
  <c r="O33" i="71"/>
  <c r="N33" i="71"/>
  <c r="B34" i="71" s="1"/>
  <c r="B35" i="71" s="1"/>
  <c r="B36" i="71" s="1"/>
  <c r="S36" i="71" s="1"/>
  <c r="D33" i="71"/>
  <c r="Q32" i="71"/>
  <c r="AB32" i="71" s="1"/>
  <c r="P32" i="71"/>
  <c r="O32" i="71"/>
  <c r="Y32" i="71" s="1"/>
  <c r="Z32" i="71" s="1"/>
  <c r="N32" i="71"/>
  <c r="X32" i="71" s="1"/>
  <c r="Q31" i="71"/>
  <c r="AB31" i="71"/>
  <c r="P31" i="71"/>
  <c r="O31" i="71"/>
  <c r="Y31" i="71" s="1"/>
  <c r="Z31" i="71" s="1"/>
  <c r="N31" i="71"/>
  <c r="Q30" i="71"/>
  <c r="P30" i="71"/>
  <c r="AA30" i="71"/>
  <c r="O30" i="71"/>
  <c r="Y30" i="71"/>
  <c r="Z30" i="71" s="1"/>
  <c r="N30" i="71"/>
  <c r="Q29" i="71"/>
  <c r="F30" i="71" s="1"/>
  <c r="P29" i="71"/>
  <c r="O29" i="71"/>
  <c r="C30" i="71" s="1"/>
  <c r="N29" i="71"/>
  <c r="X26" i="71" s="1"/>
  <c r="D29" i="71"/>
  <c r="O28" i="71"/>
  <c r="C28" i="71" s="1"/>
  <c r="N28" i="71"/>
  <c r="B30" i="71"/>
  <c r="B31" i="71" s="1"/>
  <c r="B32" i="71" s="1"/>
  <c r="S32" i="71" s="1"/>
  <c r="E38" i="71"/>
  <c r="E39" i="71" s="1"/>
  <c r="E40" i="71" s="1"/>
  <c r="U40" i="71" s="1"/>
  <c r="N68" i="71"/>
  <c r="X31" i="71"/>
  <c r="C34" i="71"/>
  <c r="C35" i="71" s="1"/>
  <c r="Y33" i="71"/>
  <c r="Z33" i="71" s="1"/>
  <c r="AA34" i="71"/>
  <c r="X36" i="71"/>
  <c r="C38" i="71"/>
  <c r="C39" i="71" s="1"/>
  <c r="Y37" i="71"/>
  <c r="Z37" i="71" s="1"/>
  <c r="AB37" i="71"/>
  <c r="AA38" i="71"/>
  <c r="B28" i="71"/>
  <c r="B27" i="71" s="1"/>
  <c r="B26" i="71" s="1"/>
  <c r="X28" i="71"/>
  <c r="D38" i="71"/>
  <c r="C51" i="71"/>
  <c r="D51" i="71" s="1"/>
  <c r="D50" i="71"/>
  <c r="P28" i="71"/>
  <c r="AA3" i="71"/>
  <c r="E59" i="71"/>
  <c r="E60" i="71"/>
  <c r="U60" i="71" s="1"/>
  <c r="Q65" i="71"/>
  <c r="U68" i="71"/>
  <c r="E67" i="71"/>
  <c r="E66" i="71" s="1"/>
  <c r="Q28" i="71"/>
  <c r="AB25" i="71" s="1"/>
  <c r="D54" i="71"/>
  <c r="C63" i="71"/>
  <c r="C64" i="71" s="1"/>
  <c r="D62" i="71"/>
  <c r="Q67" i="71"/>
  <c r="T68" i="71"/>
  <c r="O68" i="71"/>
  <c r="D68" i="71"/>
  <c r="C67" i="71"/>
  <c r="O67" i="71" s="1"/>
  <c r="Q68" i="71"/>
  <c r="C71" i="71"/>
  <c r="D71" i="71" s="1"/>
  <c r="E71" i="71"/>
  <c r="E70" i="71" s="1"/>
  <c r="D72" i="71"/>
  <c r="C75" i="71"/>
  <c r="C74" i="71" s="1"/>
  <c r="D74" i="71" s="1"/>
  <c r="E75" i="71"/>
  <c r="E74" i="71" s="1"/>
  <c r="D76" i="71"/>
  <c r="C79" i="71"/>
  <c r="C78" i="71" s="1"/>
  <c r="D78" i="71" s="1"/>
  <c r="E79" i="71"/>
  <c r="E78" i="71" s="1"/>
  <c r="D80" i="71"/>
  <c r="C83" i="71"/>
  <c r="D83" i="71" s="1"/>
  <c r="C87" i="71"/>
  <c r="D87" i="71" s="1"/>
  <c r="F28" i="71"/>
  <c r="F27" i="71" s="1"/>
  <c r="F26" i="71" s="1"/>
  <c r="AB26" i="71"/>
  <c r="AB28" i="71"/>
  <c r="E28" i="71"/>
  <c r="E27" i="71"/>
  <c r="E26" i="71" s="1"/>
  <c r="AA27" i="71"/>
  <c r="C66" i="71"/>
  <c r="D66" i="71" s="1"/>
  <c r="D75" i="71"/>
  <c r="C86" i="71"/>
  <c r="D86" i="71" s="1"/>
  <c r="P67" i="71"/>
  <c r="C52" i="71"/>
  <c r="T52"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c r="D77" i="37"/>
  <c r="E77" i="37"/>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B88" i="43" s="1"/>
  <c r="C22" i="20"/>
  <c r="B100" i="43" s="1"/>
  <c r="B68" i="43"/>
  <c r="S25" i="40"/>
  <c r="H25" i="40"/>
  <c r="AB25" i="40" s="1"/>
  <c r="J25" i="40"/>
  <c r="AC25" i="40"/>
  <c r="H29" i="39"/>
  <c r="AB29" i="39"/>
  <c r="J29" i="39"/>
  <c r="AC29" i="39"/>
  <c r="J18" i="36"/>
  <c r="AC18" i="36"/>
  <c r="H18" i="35"/>
  <c r="AB18" i="35"/>
  <c r="J18" i="35"/>
  <c r="AC18" i="35" s="1"/>
  <c r="H21" i="37"/>
  <c r="AB21" i="37" s="1"/>
  <c r="F21" i="37"/>
  <c r="AA21" i="37"/>
  <c r="H21" i="34"/>
  <c r="AB21" i="34"/>
  <c r="H21" i="33"/>
  <c r="U21" i="33"/>
  <c r="F21" i="33"/>
  <c r="S21" i="33" s="1"/>
  <c r="E83" i="21"/>
  <c r="F83" i="21" s="1"/>
  <c r="G83" i="21" s="1"/>
  <c r="S21" i="21"/>
  <c r="H1" i="69"/>
  <c r="W25" i="40"/>
  <c r="U25" i="40"/>
  <c r="U29" i="39"/>
  <c r="W29" i="39"/>
  <c r="W18" i="36"/>
  <c r="U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4"/>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c r="A13" i="51"/>
  <c r="B11" i="72"/>
  <c r="S1" i="4"/>
  <c r="B1" i="4"/>
  <c r="B37" i="48" s="1"/>
  <c r="B2" i="72" s="1"/>
  <c r="D1" i="43"/>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c r="G8" i="1" s="1"/>
  <c r="A7" i="1"/>
  <c r="B7" i="1"/>
  <c r="E7" i="1" s="1"/>
  <c r="A8" i="1"/>
  <c r="B8" i="1" s="1"/>
  <c r="E8" i="1" s="1"/>
  <c r="A9" i="1"/>
  <c r="A10" i="1"/>
  <c r="A11" i="1"/>
  <c r="B11" i="1" s="1"/>
  <c r="E11" i="1" s="1"/>
  <c r="A12" i="1"/>
  <c r="A13" i="1"/>
  <c r="K13" i="1"/>
  <c r="M13" i="1" s="1"/>
  <c r="O13" i="1"/>
  <c r="P13" i="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s="1"/>
  <c r="C57" i="39" s="1"/>
  <c r="H60" i="39"/>
  <c r="I60" i="39" s="1"/>
  <c r="C60" i="39" s="1"/>
  <c r="H62" i="39"/>
  <c r="I62" i="39"/>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c r="R35" i="4"/>
  <c r="Q35" i="4"/>
  <c r="P35" i="4"/>
  <c r="O35" i="4"/>
  <c r="N35" i="4"/>
  <c r="M35" i="4"/>
  <c r="L35" i="4"/>
  <c r="K34" i="4"/>
  <c r="T34" i="4" s="1"/>
  <c r="H15" i="4"/>
  <c r="F9" i="1"/>
  <c r="G9" i="1" s="1"/>
  <c r="G15" i="4"/>
  <c r="F12" i="1"/>
  <c r="G12" i="1" s="1"/>
  <c r="F15" i="4"/>
  <c r="F11" i="1"/>
  <c r="G11" i="1" s="1"/>
  <c r="D15" i="4"/>
  <c r="F7" i="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U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S41" i="21"/>
  <c r="AC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F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c r="F100" i="39" s="1"/>
  <c r="D98" i="39"/>
  <c r="E98" i="39"/>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H40" i="37"/>
  <c r="U40" i="37" s="1"/>
  <c r="D107" i="37"/>
  <c r="E107" i="37"/>
  <c r="F107" i="37" s="1"/>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G73" i="37" s="1"/>
  <c r="D71" i="37"/>
  <c r="H15" i="37"/>
  <c r="AB15" i="37" s="1"/>
  <c r="B68" i="37"/>
  <c r="H14" i="37" s="1"/>
  <c r="U14" i="37" s="1"/>
  <c r="B66" i="37"/>
  <c r="B64" i="37"/>
  <c r="H12" i="37" s="1"/>
  <c r="AB12" i="37" s="1"/>
  <c r="D63" i="37"/>
  <c r="E63" i="37" s="1"/>
  <c r="F63" i="37" s="1"/>
  <c r="M61" i="37"/>
  <c r="L61" i="37"/>
  <c r="K61" i="37"/>
  <c r="J61" i="37"/>
  <c r="I61" i="37"/>
  <c r="H61" i="37"/>
  <c r="G61" i="37"/>
  <c r="F61" i="37"/>
  <c r="E61" i="37"/>
  <c r="D61" i="37"/>
  <c r="C61" i="37"/>
  <c r="C57" i="37"/>
  <c r="J9" i="37"/>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J25" i="36"/>
  <c r="W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B57" i="35"/>
  <c r="H11" i="35"/>
  <c r="AB11" i="35" s="1"/>
  <c r="B61" i="35"/>
  <c r="B59" i="35"/>
  <c r="B131" i="34"/>
  <c r="B129" i="34"/>
  <c r="H46" i="34"/>
  <c r="AB46" i="34" s="1"/>
  <c r="B127" i="34"/>
  <c r="B99" i="34"/>
  <c r="H32" i="34" s="1"/>
  <c r="B97" i="34"/>
  <c r="B95" i="34"/>
  <c r="B93" i="34"/>
  <c r="B75" i="34"/>
  <c r="J14" i="34"/>
  <c r="B73" i="34"/>
  <c r="B71" i="34"/>
  <c r="B130" i="33"/>
  <c r="B128" i="33"/>
  <c r="H45" i="33" s="1"/>
  <c r="B126" i="33"/>
  <c r="H44" i="33" s="1"/>
  <c r="B98" i="33"/>
  <c r="J31" i="33"/>
  <c r="W31" i="33" s="1"/>
  <c r="B96" i="33"/>
  <c r="B94" i="33"/>
  <c r="J29" i="33" s="1"/>
  <c r="W29" i="33" s="1"/>
  <c r="B74" i="33"/>
  <c r="B72" i="33"/>
  <c r="J13" i="33" s="1"/>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F9" i="34"/>
  <c r="AA9" i="34" s="1"/>
  <c r="J8" i="34"/>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c r="AA27" i="33" s="1"/>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I54" i="21"/>
  <c r="J54" i="21" s="1"/>
  <c r="D125" i="21"/>
  <c r="E125" i="21" s="1"/>
  <c r="D123" i="21"/>
  <c r="E123" i="21" s="1"/>
  <c r="F123" i="21" s="1"/>
  <c r="G123" i="21" s="1"/>
  <c r="H123" i="21" s="1"/>
  <c r="I123" i="21" s="1"/>
  <c r="J123" i="21" s="1"/>
  <c r="K123" i="21" s="1"/>
  <c r="L123" i="21" s="1"/>
  <c r="M123" i="21" s="1"/>
  <c r="D119" i="21"/>
  <c r="F40" i="21" s="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D108" i="21"/>
  <c r="E108" i="21"/>
  <c r="F108" i="21" s="1"/>
  <c r="G108" i="21" s="1"/>
  <c r="H108" i="21" s="1"/>
  <c r="I108" i="21" s="1"/>
  <c r="J108" i="21" s="1"/>
  <c r="K108" i="21" s="1"/>
  <c r="L108" i="21" s="1"/>
  <c r="M108" i="21" s="1"/>
  <c r="D106" i="21"/>
  <c r="E106" i="21" s="1"/>
  <c r="F106" i="21" s="1"/>
  <c r="D101" i="21"/>
  <c r="E101" i="2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AB31" i="21" s="1"/>
  <c r="B96" i="21"/>
  <c r="H30" i="21" s="1"/>
  <c r="B94" i="21"/>
  <c r="J29" i="21" s="1"/>
  <c r="B92" i="21"/>
  <c r="H28" i="21" s="1"/>
  <c r="AB28" i="21" s="1"/>
  <c r="B90" i="21"/>
  <c r="J27" i="21"/>
  <c r="W27" i="21" s="1"/>
  <c r="B74" i="21"/>
  <c r="J14" i="21" s="1"/>
  <c r="W14" i="21" s="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C5" i="3"/>
  <c r="BD587" i="3"/>
  <c r="BE587" i="3"/>
  <c r="BF587" i="3"/>
  <c r="BG587" i="3"/>
  <c r="BG5" i="3" s="1"/>
  <c r="BH587" i="3"/>
  <c r="BI587" i="3"/>
  <c r="BJ587" i="3"/>
  <c r="BK587" i="3"/>
  <c r="BK5"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H38" i="21"/>
  <c r="U38" i="21" s="1"/>
  <c r="F38" i="21"/>
  <c r="S38" i="21" s="1"/>
  <c r="F39" i="21"/>
  <c r="AA39" i="21" s="1"/>
  <c r="H35" i="21"/>
  <c r="AB35" i="21" s="1"/>
  <c r="J8" i="21"/>
  <c r="AC8" i="21" s="1"/>
  <c r="H8" i="21"/>
  <c r="U8" i="21" s="1"/>
  <c r="H10" i="21"/>
  <c r="AB10" i="21" s="1"/>
  <c r="H39" i="21"/>
  <c r="U39" i="21"/>
  <c r="F35" i="21"/>
  <c r="AA35" i="21" s="1"/>
  <c r="J10" i="21"/>
  <c r="AC10" i="21" s="1"/>
  <c r="AB19" i="21"/>
  <c r="J19" i="21"/>
  <c r="W19" i="21" s="1"/>
  <c r="J12" i="21"/>
  <c r="AC12" i="21" s="1"/>
  <c r="J44" i="39"/>
  <c r="F36" i="39"/>
  <c r="S36" i="39" s="1"/>
  <c r="H36" i="39"/>
  <c r="AB36" i="39" s="1"/>
  <c r="J35" i="39"/>
  <c r="F35" i="39"/>
  <c r="J36" i="39"/>
  <c r="AC36" i="39" s="1"/>
  <c r="W40" i="39"/>
  <c r="U30" i="37"/>
  <c r="E103" i="37"/>
  <c r="F103" i="37" s="1"/>
  <c r="G103" i="37"/>
  <c r="H103" i="37" s="1"/>
  <c r="I103" i="37" s="1"/>
  <c r="J103" i="37" s="1"/>
  <c r="K103" i="37" s="1"/>
  <c r="L103" i="37" s="1"/>
  <c r="M103" i="37" s="1"/>
  <c r="F39" i="37"/>
  <c r="S39" i="37"/>
  <c r="F29" i="36"/>
  <c r="AA29" i="36" s="1"/>
  <c r="F16" i="36"/>
  <c r="AA16" i="36" s="1"/>
  <c r="W28" i="36"/>
  <c r="U31" i="36"/>
  <c r="J33" i="36"/>
  <c r="AC33" i="36"/>
  <c r="H22" i="35"/>
  <c r="AB22" i="35"/>
  <c r="AC27" i="35"/>
  <c r="W28" i="35"/>
  <c r="U31" i="35"/>
  <c r="S31" i="35"/>
  <c r="F36" i="34"/>
  <c r="J35" i="34"/>
  <c r="W9" i="34"/>
  <c r="U34" i="34"/>
  <c r="H39" i="33"/>
  <c r="AB39" i="33"/>
  <c r="F26" i="33"/>
  <c r="AA26" i="33"/>
  <c r="S40" i="33"/>
  <c r="H39" i="37"/>
  <c r="AB39" i="37" s="1"/>
  <c r="S27" i="35"/>
  <c r="F11" i="40"/>
  <c r="AA11" i="40" s="1"/>
  <c r="H11" i="40"/>
  <c r="AB11" i="40" s="1"/>
  <c r="AB39" i="40"/>
  <c r="AA9" i="40"/>
  <c r="S34" i="40"/>
  <c r="W31" i="40"/>
  <c r="S38" i="40"/>
  <c r="F42" i="39"/>
  <c r="AA42" i="39"/>
  <c r="F41" i="39"/>
  <c r="S41" i="39"/>
  <c r="H40" i="39"/>
  <c r="AB40" i="39"/>
  <c r="H39" i="39"/>
  <c r="U39" i="39"/>
  <c r="S34" i="39"/>
  <c r="H34" i="39"/>
  <c r="U34" i="39" s="1"/>
  <c r="H31" i="39"/>
  <c r="AB31" i="39" s="1"/>
  <c r="F31" i="39"/>
  <c r="AA31" i="39" s="1"/>
  <c r="H19" i="39"/>
  <c r="AB19" i="39" s="1"/>
  <c r="F19" i="39"/>
  <c r="AA19" i="39" s="1"/>
  <c r="H17" i="39"/>
  <c r="AB17" i="39" s="1"/>
  <c r="F17" i="39"/>
  <c r="AA17" i="39" s="1"/>
  <c r="J23" i="40"/>
  <c r="AC23" i="40" s="1"/>
  <c r="F21" i="40"/>
  <c r="J21" i="40"/>
  <c r="H42" i="39"/>
  <c r="AB42" i="39" s="1"/>
  <c r="J34" i="39"/>
  <c r="AC34" i="39" s="1"/>
  <c r="F108" i="39"/>
  <c r="G108" i="39" s="1"/>
  <c r="H108" i="39"/>
  <c r="I108" i="39" s="1"/>
  <c r="J108" i="39" s="1"/>
  <c r="K108" i="39" s="1"/>
  <c r="L108" i="39" s="1"/>
  <c r="M108" i="39" s="1"/>
  <c r="J31" i="39"/>
  <c r="G100" i="39"/>
  <c r="H27" i="39"/>
  <c r="U27" i="39"/>
  <c r="J19" i="39"/>
  <c r="AC19" i="39"/>
  <c r="J17" i="39"/>
  <c r="J27" i="39"/>
  <c r="AC27" i="39" s="1"/>
  <c r="F27" i="39"/>
  <c r="F11" i="21"/>
  <c r="S11" i="21" s="1"/>
  <c r="C25" i="39"/>
  <c r="C27" i="39"/>
  <c r="C21" i="39"/>
  <c r="H11" i="39"/>
  <c r="S40" i="39"/>
  <c r="C15" i="39"/>
  <c r="H32" i="33"/>
  <c r="AB32" i="33" s="1"/>
  <c r="H11" i="21"/>
  <c r="U11" i="21" s="1"/>
  <c r="J11" i="21"/>
  <c r="W11" i="21" s="1"/>
  <c r="H37" i="40"/>
  <c r="U37" i="40" s="1"/>
  <c r="H36" i="40"/>
  <c r="AB36" i="40" s="1"/>
  <c r="F35" i="40"/>
  <c r="AA35" i="40" s="1"/>
  <c r="H23" i="40"/>
  <c r="H17" i="40"/>
  <c r="U17" i="40" s="1"/>
  <c r="J15" i="40"/>
  <c r="W15" i="40" s="1"/>
  <c r="J11" i="40"/>
  <c r="W11" i="40" s="1"/>
  <c r="AB8"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E114" i="34"/>
  <c r="F114" i="34" s="1"/>
  <c r="G114" i="34" s="1"/>
  <c r="H114" i="34" s="1"/>
  <c r="I114" i="34" s="1"/>
  <c r="J114" i="34" s="1"/>
  <c r="K114" i="34" s="1"/>
  <c r="L114" i="34" s="1"/>
  <c r="M114" i="34" s="1"/>
  <c r="H36" i="34"/>
  <c r="U36" i="34"/>
  <c r="F37" i="34"/>
  <c r="AA37" i="34"/>
  <c r="S35" i="34"/>
  <c r="F28" i="34"/>
  <c r="AA28" i="34" s="1"/>
  <c r="F25" i="34"/>
  <c r="S25" i="34" s="1"/>
  <c r="H23" i="34"/>
  <c r="U23" i="34" s="1"/>
  <c r="J23" i="34"/>
  <c r="F19" i="34"/>
  <c r="H17" i="34"/>
  <c r="F15" i="34"/>
  <c r="S15" i="34" s="1"/>
  <c r="J15" i="34"/>
  <c r="AC15" i="34"/>
  <c r="H15" i="34"/>
  <c r="AB15"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A12" i="36"/>
  <c r="AB30" i="36"/>
  <c r="F29" i="35"/>
  <c r="S29" i="35"/>
  <c r="H29" i="35"/>
  <c r="AB29" i="35"/>
  <c r="H33" i="37"/>
  <c r="AB33" i="37"/>
  <c r="F33" i="37"/>
  <c r="AA33" i="37"/>
  <c r="U34"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S41" i="33"/>
  <c r="H37" i="33"/>
  <c r="AB37" i="33"/>
  <c r="H15" i="33"/>
  <c r="AB15" i="33"/>
  <c r="H11" i="33"/>
  <c r="AB11" i="33"/>
  <c r="F28" i="40"/>
  <c r="AA28" i="40"/>
  <c r="AA42" i="34"/>
  <c r="S42" i="34"/>
  <c r="AA38" i="34"/>
  <c r="J37" i="34"/>
  <c r="AC37" i="34" s="1"/>
  <c r="J11" i="33"/>
  <c r="W11" i="33" s="1"/>
  <c r="J42" i="21"/>
  <c r="AC42" i="21" s="1"/>
  <c r="H42" i="21"/>
  <c r="U42" i="21" s="1"/>
  <c r="J44" i="34"/>
  <c r="W44" i="34" s="1"/>
  <c r="F44" i="34"/>
  <c r="AA44" i="34" s="1"/>
  <c r="J10" i="35"/>
  <c r="AC10" i="35" s="1"/>
  <c r="BL587" i="3"/>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s="1"/>
  <c r="F28" i="36"/>
  <c r="AA28" i="36" s="1"/>
  <c r="H27" i="21"/>
  <c r="AB27" i="21" s="1"/>
  <c r="F27" i="21"/>
  <c r="AA27" i="21" s="1"/>
  <c r="H13" i="33"/>
  <c r="U13" i="33" s="1"/>
  <c r="AC29" i="33"/>
  <c r="F31" i="33"/>
  <c r="W14" i="34"/>
  <c r="F32" i="34"/>
  <c r="U46" i="34"/>
  <c r="J46" i="34"/>
  <c r="J11" i="35"/>
  <c r="F11" i="35"/>
  <c r="S11" i="35" s="1"/>
  <c r="J26" i="36"/>
  <c r="W26" i="36" s="1"/>
  <c r="H28" i="36"/>
  <c r="U28" i="36" s="1"/>
  <c r="H32" i="36"/>
  <c r="AB32" i="36" s="1"/>
  <c r="J11" i="36"/>
  <c r="AC11" i="36" s="1"/>
  <c r="H11" i="36"/>
  <c r="U11" i="36" s="1"/>
  <c r="F11" i="36"/>
  <c r="AA11" i="36" s="1"/>
  <c r="F13" i="36"/>
  <c r="S13" i="36" s="1"/>
  <c r="E89" i="37"/>
  <c r="F89" i="37" s="1"/>
  <c r="G89" i="37" s="1"/>
  <c r="H89" i="37" s="1"/>
  <c r="I89" i="37" s="1"/>
  <c r="J89" i="37" s="1"/>
  <c r="K89" i="37" s="1"/>
  <c r="L89" i="37" s="1"/>
  <c r="M89" i="37" s="1"/>
  <c r="J29" i="37"/>
  <c r="W29" i="37" s="1"/>
  <c r="F29" i="37"/>
  <c r="S29" i="37" s="1"/>
  <c r="H36" i="37"/>
  <c r="AB36" i="37" s="1"/>
  <c r="G107" i="37"/>
  <c r="H107" i="37" s="1"/>
  <c r="I107" i="37" s="1"/>
  <c r="J107" i="37" s="1"/>
  <c r="K107" i="37" s="1"/>
  <c r="L107" i="37" s="1"/>
  <c r="M107" i="37" s="1"/>
  <c r="J37" i="37"/>
  <c r="AC37" i="37" s="1"/>
  <c r="H37" i="37"/>
  <c r="U37" i="37" s="1"/>
  <c r="H14" i="33"/>
  <c r="U14" i="33" s="1"/>
  <c r="F14" i="33"/>
  <c r="S14" i="33" s="1"/>
  <c r="J14" i="33"/>
  <c r="H30" i="33"/>
  <c r="AB30" i="33"/>
  <c r="F30" i="33"/>
  <c r="J30" i="33"/>
  <c r="J44" i="33"/>
  <c r="AC44" i="33" s="1"/>
  <c r="F44" i="33"/>
  <c r="S44" i="33" s="1"/>
  <c r="J46" i="33"/>
  <c r="AC46" i="33" s="1"/>
  <c r="F46" i="33"/>
  <c r="AA46" i="33" s="1"/>
  <c r="H46" i="33"/>
  <c r="AB46" i="33" s="1"/>
  <c r="H13" i="34"/>
  <c r="U13" i="34" s="1"/>
  <c r="J13" i="34"/>
  <c r="W13" i="34" s="1"/>
  <c r="F13" i="34"/>
  <c r="AA13" i="34" s="1"/>
  <c r="J29" i="34"/>
  <c r="J31" i="34"/>
  <c r="AC31" i="34" s="1"/>
  <c r="H31" i="34"/>
  <c r="AB31" i="34" s="1"/>
  <c r="F31" i="34"/>
  <c r="S31" i="34" s="1"/>
  <c r="H13" i="37"/>
  <c r="AB13" i="37" s="1"/>
  <c r="F13" i="37"/>
  <c r="S13" i="37" s="1"/>
  <c r="J13" i="37"/>
  <c r="W13" i="37" s="1"/>
  <c r="F28" i="37"/>
  <c r="AA28" i="37" s="1"/>
  <c r="J28" i="37"/>
  <c r="AC28" i="37" s="1"/>
  <c r="H28" i="37"/>
  <c r="U28" i="37" s="1"/>
  <c r="H38" i="37"/>
  <c r="AB38" i="37" s="1"/>
  <c r="J38" i="37"/>
  <c r="AC38" i="37" s="1"/>
  <c r="F38" i="37"/>
  <c r="S38" i="37" s="1"/>
  <c r="J14" i="39"/>
  <c r="AC14" i="39" s="1"/>
  <c r="F14" i="39"/>
  <c r="AB14" i="39"/>
  <c r="F12" i="40"/>
  <c r="S12" i="40" s="1"/>
  <c r="H12" i="40"/>
  <c r="H30" i="40"/>
  <c r="AB30" i="40" s="1"/>
  <c r="F33" i="40"/>
  <c r="AA33" i="40" s="1"/>
  <c r="H33" i="40"/>
  <c r="J35" i="40"/>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U31" i="34"/>
  <c r="J36" i="37"/>
  <c r="AC36" i="37"/>
  <c r="J10" i="36"/>
  <c r="AC10" i="36" s="1"/>
  <c r="AB26" i="33"/>
  <c r="BA585" i="3"/>
  <c r="F17" i="21"/>
  <c r="AA17" i="21"/>
  <c r="H17" i="21"/>
  <c r="AB17" i="21"/>
  <c r="F15" i="21"/>
  <c r="S15" i="21"/>
  <c r="J41" i="39"/>
  <c r="W41" i="39"/>
  <c r="W36" i="39"/>
  <c r="U36" i="39"/>
  <c r="G544" i="3"/>
  <c r="G536" i="3"/>
  <c r="G532" i="3"/>
  <c r="G528" i="3"/>
  <c r="G523" i="3"/>
  <c r="G514" i="3"/>
  <c r="G510" i="3"/>
  <c r="G508" i="3"/>
  <c r="G504" i="3"/>
  <c r="G500" i="3"/>
  <c r="G496" i="3"/>
  <c r="G584" i="3"/>
  <c r="G576" i="3"/>
  <c r="G572" i="3"/>
  <c r="G568" i="3"/>
  <c r="G560" i="3"/>
  <c r="G554" i="3"/>
  <c r="G550" i="3"/>
  <c r="BL584" i="3"/>
  <c r="BL580" i="3"/>
  <c r="BL572" i="3"/>
  <c r="BL568" i="3"/>
  <c r="BL564" i="3"/>
  <c r="BL554" i="3"/>
  <c r="BL546" i="3"/>
  <c r="BL542" i="3"/>
  <c r="BL534" i="3"/>
  <c r="BL526" i="3"/>
  <c r="BL516" i="3"/>
  <c r="BL512" i="3"/>
  <c r="BL506" i="3"/>
  <c r="AZ506" i="3"/>
  <c r="BL502" i="3"/>
  <c r="BL498" i="3"/>
  <c r="BL494" i="3"/>
  <c r="BL582" i="3"/>
  <c r="BL574" i="3"/>
  <c r="BL570" i="3"/>
  <c r="BL566" i="3"/>
  <c r="BL556" i="3"/>
  <c r="BL552" i="3"/>
  <c r="BL544" i="3"/>
  <c r="BL536" i="3"/>
  <c r="BL532" i="3"/>
  <c r="BL528" i="3"/>
  <c r="BL524" i="3"/>
  <c r="BL514" i="3"/>
  <c r="BL510" i="3"/>
  <c r="BL504" i="3"/>
  <c r="BL500" i="3"/>
  <c r="BL496" i="3"/>
  <c r="G493" i="3"/>
  <c r="BA584" i="3"/>
  <c r="BA582" i="3"/>
  <c r="BA572" i="3"/>
  <c r="AZ572" i="3" s="1"/>
  <c r="BA570" i="3"/>
  <c r="AZ570" i="3" s="1"/>
  <c r="BA568" i="3"/>
  <c r="BA566" i="3"/>
  <c r="AZ566" i="3" s="1"/>
  <c r="BA558" i="3"/>
  <c r="BA556" i="3"/>
  <c r="BA554" i="3"/>
  <c r="BA552" i="3"/>
  <c r="AZ552" i="3" s="1"/>
  <c r="BA548" i="3"/>
  <c r="BA546" i="3"/>
  <c r="AZ546" i="3" s="1"/>
  <c r="BA544" i="3"/>
  <c r="BA542" i="3"/>
  <c r="AZ542" i="3" s="1"/>
  <c r="BA540" i="3"/>
  <c r="BA538" i="3"/>
  <c r="BA536" i="3"/>
  <c r="AZ536" i="3" s="1"/>
  <c r="BA534" i="3"/>
  <c r="BA532" i="3"/>
  <c r="AZ532" i="3"/>
  <c r="BA530" i="3"/>
  <c r="BA520" i="3"/>
  <c r="BA514" i="3"/>
  <c r="BA512" i="3"/>
  <c r="AZ512" i="3" s="1"/>
  <c r="BA510" i="3"/>
  <c r="BA508" i="3"/>
  <c r="BA506" i="3"/>
  <c r="BA504" i="3"/>
  <c r="AZ504" i="3" s="1"/>
  <c r="BA502" i="3"/>
  <c r="BA500" i="3"/>
  <c r="BA498" i="3"/>
  <c r="BA496" i="3"/>
  <c r="BA494" i="3"/>
  <c r="AZ494" i="3" s="1"/>
  <c r="BA587" i="3"/>
  <c r="BA583" i="3"/>
  <c r="BA577" i="3"/>
  <c r="BA573" i="3"/>
  <c r="BA571" i="3"/>
  <c r="BA569" i="3"/>
  <c r="BA567" i="3"/>
  <c r="BA565" i="3"/>
  <c r="BA561" i="3"/>
  <c r="BA555" i="3"/>
  <c r="AZ555" i="3" s="1"/>
  <c r="BA553" i="3"/>
  <c r="BA549" i="3"/>
  <c r="BA547" i="3"/>
  <c r="BA545" i="3"/>
  <c r="BA543" i="3"/>
  <c r="BA541" i="3"/>
  <c r="BA537" i="3"/>
  <c r="BA533" i="3"/>
  <c r="BA529" i="3"/>
  <c r="BA525" i="3"/>
  <c r="BA519" i="3"/>
  <c r="BA515" i="3"/>
  <c r="BA513" i="3"/>
  <c r="BA511" i="3"/>
  <c r="BA507" i="3"/>
  <c r="BA505" i="3"/>
  <c r="BA503" i="3"/>
  <c r="BA501" i="3"/>
  <c r="BA499" i="3"/>
  <c r="BA497" i="3"/>
  <c r="BA495" i="3"/>
  <c r="BA493" i="3"/>
  <c r="G583" i="3"/>
  <c r="G579" i="3"/>
  <c r="G575" i="3"/>
  <c r="G573" i="3"/>
  <c r="G571" i="3"/>
  <c r="G569" i="3"/>
  <c r="G567" i="3"/>
  <c r="G563" i="3"/>
  <c r="BL558" i="3"/>
  <c r="BA557" i="3"/>
  <c r="AZ557" i="3" s="1"/>
  <c r="AC557" i="3"/>
  <c r="G557" i="3" s="1"/>
  <c r="BQ557" i="3"/>
  <c r="BL557" i="3" s="1"/>
  <c r="BQ583" i="3"/>
  <c r="BL583" i="3" s="1"/>
  <c r="BQ581" i="3"/>
  <c r="BQ579" i="3"/>
  <c r="BQ577" i="3"/>
  <c r="BL577" i="3" s="1"/>
  <c r="BQ575" i="3"/>
  <c r="BQ573" i="3"/>
  <c r="BL573" i="3" s="1"/>
  <c r="BQ571" i="3"/>
  <c r="BL571" i="3" s="1"/>
  <c r="BQ569" i="3"/>
  <c r="BL569" i="3" s="1"/>
  <c r="BQ567" i="3"/>
  <c r="BL567" i="3" s="1"/>
  <c r="AZ567" i="3" s="1"/>
  <c r="BQ565" i="3"/>
  <c r="BL565" i="3" s="1"/>
  <c r="BQ563" i="3"/>
  <c r="BQ561" i="3"/>
  <c r="BQ559" i="3"/>
  <c r="BL559" i="3" s="1"/>
  <c r="G559" i="3"/>
  <c r="G555" i="3"/>
  <c r="G553" i="3"/>
  <c r="G547" i="3"/>
  <c r="G545" i="3"/>
  <c r="G543" i="3"/>
  <c r="G539" i="3"/>
  <c r="BQ555" i="3"/>
  <c r="BL555" i="3" s="1"/>
  <c r="BQ553" i="3"/>
  <c r="BL553" i="3" s="1"/>
  <c r="AZ553" i="3" s="1"/>
  <c r="BQ551" i="3"/>
  <c r="BQ549" i="3"/>
  <c r="BQ547" i="3"/>
  <c r="BL547" i="3" s="1"/>
  <c r="AZ547" i="3" s="1"/>
  <c r="BQ545" i="3"/>
  <c r="BL545" i="3"/>
  <c r="BQ543" i="3"/>
  <c r="BL543" i="3" s="1"/>
  <c r="AZ543" i="3" s="1"/>
  <c r="BQ541" i="3"/>
  <c r="BQ539" i="3"/>
  <c r="BL539" i="3" s="1"/>
  <c r="BQ537" i="3"/>
  <c r="BQ535" i="3"/>
  <c r="BL535" i="3"/>
  <c r="BQ533" i="3"/>
  <c r="BQ531" i="3"/>
  <c r="BL531" i="3" s="1"/>
  <c r="BQ529" i="3"/>
  <c r="BQ527" i="3"/>
  <c r="BL527" i="3" s="1"/>
  <c r="BQ525" i="3"/>
  <c r="BQ523" i="3"/>
  <c r="BL523" i="3" s="1"/>
  <c r="BA521" i="3"/>
  <c r="AC521" i="3"/>
  <c r="BQ521" i="3"/>
  <c r="BL520" i="3"/>
  <c r="G519" i="3"/>
  <c r="G517" i="3"/>
  <c r="G515" i="3"/>
  <c r="G513" i="3"/>
  <c r="G511" i="3"/>
  <c r="BQ519" i="3"/>
  <c r="BL519" i="3" s="1"/>
  <c r="AZ519" i="3" s="1"/>
  <c r="BQ517" i="3"/>
  <c r="BL517" i="3" s="1"/>
  <c r="BQ515" i="3"/>
  <c r="BL515" i="3" s="1"/>
  <c r="AZ515" i="3" s="1"/>
  <c r="BQ513" i="3"/>
  <c r="BL513" i="3" s="1"/>
  <c r="AZ513" i="3" s="1"/>
  <c r="BQ511" i="3"/>
  <c r="BL511" i="3" s="1"/>
  <c r="AZ511" i="3" s="1"/>
  <c r="BA509" i="3"/>
  <c r="AC509" i="3"/>
  <c r="G509" i="3" s="1"/>
  <c r="BQ509" i="3"/>
  <c r="BL509" i="3" s="1"/>
  <c r="AZ509" i="3" s="1"/>
  <c r="BL508" i="3"/>
  <c r="G507" i="3"/>
  <c r="G505" i="3"/>
  <c r="G503" i="3"/>
  <c r="G501" i="3"/>
  <c r="G499" i="3"/>
  <c r="G497" i="3"/>
  <c r="G495" i="3"/>
  <c r="BQ507" i="3"/>
  <c r="BL507" i="3" s="1"/>
  <c r="AZ507" i="3" s="1"/>
  <c r="BQ505" i="3"/>
  <c r="BL505" i="3"/>
  <c r="AZ505" i="3" s="1"/>
  <c r="BQ503" i="3"/>
  <c r="BL503" i="3" s="1"/>
  <c r="BQ501" i="3"/>
  <c r="BL501" i="3" s="1"/>
  <c r="BQ499" i="3"/>
  <c r="BL499" i="3" s="1"/>
  <c r="AZ499" i="3" s="1"/>
  <c r="BQ497" i="3"/>
  <c r="BL497" i="3" s="1"/>
  <c r="BQ495" i="3"/>
  <c r="BL495" i="3" s="1"/>
  <c r="BQ493" i="3"/>
  <c r="BQ5" i="3" s="1"/>
  <c r="F28" i="6" s="1"/>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c r="J43" i="33"/>
  <c r="AC43" i="33"/>
  <c r="S28" i="31"/>
  <c r="S27" i="31"/>
  <c r="S26" i="31"/>
  <c r="U14" i="40"/>
  <c r="AB28" i="37"/>
  <c r="U33" i="37"/>
  <c r="U39" i="37"/>
  <c r="W26" i="37"/>
  <c r="AC36" i="34"/>
  <c r="AC31" i="33"/>
  <c r="W44" i="33"/>
  <c r="U11" i="33"/>
  <c r="U19" i="21"/>
  <c r="AC46" i="21"/>
  <c r="AB38" i="21"/>
  <c r="F43" i="33"/>
  <c r="AA43" i="33" s="1"/>
  <c r="W15" i="34"/>
  <c r="W16" i="35"/>
  <c r="H37" i="21"/>
  <c r="U37" i="21" s="1"/>
  <c r="H19" i="34"/>
  <c r="AB19" i="34" s="1"/>
  <c r="F36" i="35"/>
  <c r="S36" i="35" s="1"/>
  <c r="H9" i="37"/>
  <c r="U9" i="37" s="1"/>
  <c r="J12" i="37"/>
  <c r="F12" i="37"/>
  <c r="S12" i="37" s="1"/>
  <c r="E71" i="37"/>
  <c r="F71" i="37" s="1"/>
  <c r="G71" i="37" s="1"/>
  <c r="F15" i="37"/>
  <c r="E94" i="37"/>
  <c r="F94" i="37"/>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W23" i="39"/>
  <c r="AC43" i="39"/>
  <c r="W43" i="39"/>
  <c r="U45" i="39"/>
  <c r="AB45" i="39"/>
  <c r="AB44" i="39"/>
  <c r="U44"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c r="B16" i="53"/>
  <c r="B33" i="72"/>
  <c r="C7" i="37"/>
  <c r="C7" i="34"/>
  <c r="C7" i="36"/>
  <c r="A118" i="9"/>
  <c r="A4" i="52"/>
  <c r="B41" i="72"/>
  <c r="J11" i="39"/>
  <c r="F11" i="39"/>
  <c r="AA11" i="39" s="1"/>
  <c r="G4" i="4"/>
  <c r="I4" i="4"/>
  <c r="A2" i="9"/>
  <c r="F61" i="43"/>
  <c r="H64" i="43" s="1"/>
  <c r="BL549" i="3"/>
  <c r="AZ549" i="3" s="1"/>
  <c r="AZ502" i="3"/>
  <c r="G546" i="3"/>
  <c r="G524" i="3"/>
  <c r="G303" i="3"/>
  <c r="BL304" i="3"/>
  <c r="G305" i="3"/>
  <c r="BL306" i="3"/>
  <c r="BA308" i="3"/>
  <c r="AZ308" i="3" s="1"/>
  <c r="BA309" i="3"/>
  <c r="BL309" i="3"/>
  <c r="G310" i="3"/>
  <c r="BA311" i="3"/>
  <c r="AZ311" i="3" s="1"/>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AZ362" i="3" s="1"/>
  <c r="G370" i="3"/>
  <c r="BL371" i="3"/>
  <c r="G372" i="3"/>
  <c r="BL373" i="3"/>
  <c r="BA375" i="3"/>
  <c r="AZ375" i="3" s="1"/>
  <c r="BA376" i="3"/>
  <c r="BL376" i="3"/>
  <c r="AZ376" i="3"/>
  <c r="G377" i="3"/>
  <c r="BA378" i="3"/>
  <c r="AZ378" i="3" s="1"/>
  <c r="BL378" i="3"/>
  <c r="G379" i="3"/>
  <c r="BA380" i="3"/>
  <c r="G388" i="3"/>
  <c r="BL389" i="3"/>
  <c r="G390" i="3"/>
  <c r="BL391" i="3"/>
  <c r="BA393" i="3"/>
  <c r="BA394" i="3"/>
  <c r="BL394" i="3"/>
  <c r="G113" i="3"/>
  <c r="BA115" i="3"/>
  <c r="AZ115" i="3" s="1"/>
  <c r="BL116" i="3"/>
  <c r="AZ116" i="3" s="1"/>
  <c r="G117" i="3"/>
  <c r="BA119" i="3"/>
  <c r="BL120" i="3"/>
  <c r="AZ120" i="3" s="1"/>
  <c r="G121" i="3"/>
  <c r="BA123" i="3"/>
  <c r="AZ123" i="3"/>
  <c r="BL124" i="3"/>
  <c r="G125" i="3"/>
  <c r="BA127" i="3"/>
  <c r="AZ127" i="3" s="1"/>
  <c r="BL128" i="3"/>
  <c r="AZ128" i="3" s="1"/>
  <c r="G129" i="3"/>
  <c r="BA131" i="3"/>
  <c r="AZ131" i="3" s="1"/>
  <c r="BL132" i="3"/>
  <c r="G133" i="3"/>
  <c r="BA135" i="3"/>
  <c r="BL136" i="3"/>
  <c r="G137" i="3"/>
  <c r="BA139" i="3"/>
  <c r="BL140" i="3"/>
  <c r="AZ140" i="3" s="1"/>
  <c r="G141" i="3"/>
  <c r="BA143" i="3"/>
  <c r="AZ143" i="3" s="1"/>
  <c r="BL144" i="3"/>
  <c r="AZ144" i="3" s="1"/>
  <c r="G145" i="3"/>
  <c r="BA147" i="3"/>
  <c r="AZ147" i="3" s="1"/>
  <c r="BL148" i="3"/>
  <c r="AZ148" i="3" s="1"/>
  <c r="G149" i="3"/>
  <c r="BA151" i="3"/>
  <c r="AZ151" i="3"/>
  <c r="BL152" i="3"/>
  <c r="G153" i="3"/>
  <c r="BA155" i="3"/>
  <c r="AZ155" i="3" s="1"/>
  <c r="BL156" i="3"/>
  <c r="G157" i="3"/>
  <c r="BA159" i="3"/>
  <c r="BL160" i="3"/>
  <c r="G161" i="3"/>
  <c r="BA163" i="3"/>
  <c r="BL164" i="3"/>
  <c r="G165" i="3"/>
  <c r="BA167" i="3"/>
  <c r="AZ167" i="3" s="1"/>
  <c r="BL168" i="3"/>
  <c r="G169" i="3"/>
  <c r="BA171" i="3"/>
  <c r="BL172" i="3"/>
  <c r="AZ172" i="3" s="1"/>
  <c r="G173" i="3"/>
  <c r="BA175" i="3"/>
  <c r="BL176" i="3"/>
  <c r="G177" i="3"/>
  <c r="BA179" i="3"/>
  <c r="BL180" i="3"/>
  <c r="G181" i="3"/>
  <c r="BA183" i="3"/>
  <c r="AZ183" i="3" s="1"/>
  <c r="BL184" i="3"/>
  <c r="G185" i="3"/>
  <c r="BA187" i="3"/>
  <c r="AZ187" i="3" s="1"/>
  <c r="BL188" i="3"/>
  <c r="AZ188" i="3" s="1"/>
  <c r="G189" i="3"/>
  <c r="BA191" i="3"/>
  <c r="BL192" i="3"/>
  <c r="AZ192" i="3" s="1"/>
  <c r="G193" i="3"/>
  <c r="BA195" i="3"/>
  <c r="BL196" i="3"/>
  <c r="AZ196" i="3"/>
  <c r="G197" i="3"/>
  <c r="BA199" i="3"/>
  <c r="AZ199" i="3" s="1"/>
  <c r="BL200" i="3"/>
  <c r="G201" i="3"/>
  <c r="BA203" i="3"/>
  <c r="AZ203" i="3" s="1"/>
  <c r="BL204" i="3"/>
  <c r="AZ39" i="3"/>
  <c r="AZ47" i="3"/>
  <c r="AZ71" i="3"/>
  <c r="AZ79" i="3"/>
  <c r="AZ136" i="3"/>
  <c r="AZ93" i="3"/>
  <c r="AZ109"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BA329" i="3"/>
  <c r="BL329" i="3"/>
  <c r="G330" i="3"/>
  <c r="G333" i="3"/>
  <c r="BL334" i="3"/>
  <c r="BA336" i="3"/>
  <c r="AZ336" i="3" s="1"/>
  <c r="BA337" i="3"/>
  <c r="BL337" i="3"/>
  <c r="G338" i="3"/>
  <c r="G341" i="3"/>
  <c r="BA342" i="3"/>
  <c r="BL342" i="3"/>
  <c r="AZ342" i="3" s="1"/>
  <c r="BA344" i="3"/>
  <c r="BL344" i="3"/>
  <c r="AZ344" i="3" s="1"/>
  <c r="BA346" i="3"/>
  <c r="BA347" i="3"/>
  <c r="BL347" i="3"/>
  <c r="G350" i="3"/>
  <c r="BA351" i="3"/>
  <c r="BL351" i="3"/>
  <c r="G352" i="3"/>
  <c r="G354" i="3"/>
  <c r="BA355" i="3"/>
  <c r="AZ355" i="3" s="1"/>
  <c r="BA356" i="3"/>
  <c r="BL356" i="3"/>
  <c r="AZ356" i="3" s="1"/>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0" i="3"/>
  <c r="AZ154" i="3"/>
  <c r="AZ186" i="3"/>
  <c r="AZ202" i="3"/>
  <c r="AZ206" i="3"/>
  <c r="AZ500" i="3"/>
  <c r="BA16" i="3"/>
  <c r="BL303" i="3"/>
  <c r="AZ303" i="3" s="1"/>
  <c r="G304" i="3"/>
  <c r="BA306" i="3"/>
  <c r="AZ306" i="3" s="1"/>
  <c r="BL307" i="3"/>
  <c r="AZ307" i="3" s="1"/>
  <c r="G308" i="3"/>
  <c r="BA310" i="3"/>
  <c r="AZ310" i="3" s="1"/>
  <c r="BL311" i="3"/>
  <c r="G312" i="3"/>
  <c r="BA314" i="3"/>
  <c r="AZ314" i="3" s="1"/>
  <c r="BL315" i="3"/>
  <c r="G316" i="3"/>
  <c r="BA318" i="3"/>
  <c r="AZ318" i="3" s="1"/>
  <c r="BL319" i="3"/>
  <c r="G320" i="3"/>
  <c r="BA322" i="3"/>
  <c r="AZ322" i="3"/>
  <c r="BL323" i="3"/>
  <c r="G324" i="3"/>
  <c r="BA326" i="3"/>
  <c r="AZ326" i="3" s="1"/>
  <c r="BL327" i="3"/>
  <c r="G328" i="3"/>
  <c r="BA330" i="3"/>
  <c r="AZ330" i="3" s="1"/>
  <c r="BL331" i="3"/>
  <c r="G332" i="3"/>
  <c r="BA334" i="3"/>
  <c r="BL335" i="3"/>
  <c r="AZ335" i="3"/>
  <c r="G336" i="3"/>
  <c r="BA338" i="3"/>
  <c r="AZ338" i="3" s="1"/>
  <c r="BL339" i="3"/>
  <c r="AZ339" i="3" s="1"/>
  <c r="G340" i="3"/>
  <c r="BL343" i="3"/>
  <c r="G344" i="3"/>
  <c r="G348" i="3"/>
  <c r="G355" i="3"/>
  <c r="G342" i="3"/>
  <c r="BL345" i="3"/>
  <c r="AZ345" i="3"/>
  <c r="G346" i="3"/>
  <c r="AZ348" i="3"/>
  <c r="BL349" i="3"/>
  <c r="BL352" i="3"/>
  <c r="G353" i="3"/>
  <c r="BA357" i="3"/>
  <c r="AZ357" i="3"/>
  <c r="BL358" i="3"/>
  <c r="AZ358" i="3"/>
  <c r="G359" i="3"/>
  <c r="BA361" i="3"/>
  <c r="AZ361" i="3" s="1"/>
  <c r="BL362" i="3"/>
  <c r="G363" i="3"/>
  <c r="BA365" i="3"/>
  <c r="AZ365" i="3" s="1"/>
  <c r="BL366" i="3"/>
  <c r="G367" i="3"/>
  <c r="BA369" i="3"/>
  <c r="AZ369" i="3" s="1"/>
  <c r="BL370" i="3"/>
  <c r="G371" i="3"/>
  <c r="BA373" i="3"/>
  <c r="BL374" i="3"/>
  <c r="G375" i="3"/>
  <c r="BA377" i="3"/>
  <c r="AZ241" i="3"/>
  <c r="BA379" i="3"/>
  <c r="AZ379" i="3"/>
  <c r="BL380" i="3"/>
  <c r="G381" i="3"/>
  <c r="BA383" i="3"/>
  <c r="AZ383" i="3"/>
  <c r="BL384" i="3"/>
  <c r="G385" i="3"/>
  <c r="BA387" i="3"/>
  <c r="AZ387" i="3"/>
  <c r="BL388" i="3"/>
  <c r="AZ388" i="3"/>
  <c r="G389" i="3"/>
  <c r="BA391" i="3"/>
  <c r="AZ391" i="3" s="1"/>
  <c r="BL392" i="3"/>
  <c r="G393" i="3"/>
  <c r="AZ279" i="3"/>
  <c r="AZ283" i="3"/>
  <c r="AZ291" i="3"/>
  <c r="BM5" i="3"/>
  <c r="BH5" i="3"/>
  <c r="BD5" i="3"/>
  <c r="AZ317" i="3"/>
  <c r="AZ496" i="3"/>
  <c r="G548" i="3"/>
  <c r="G538" i="3"/>
  <c r="G520" i="3"/>
  <c r="G502" i="3"/>
  <c r="BP5" i="3"/>
  <c r="BI5" i="3"/>
  <c r="BE5" i="3"/>
  <c r="G17" i="3"/>
  <c r="BA17" i="3"/>
  <c r="BT5" i="3"/>
  <c r="BA15" i="3"/>
  <c r="BR5" i="3"/>
  <c r="AZ384" i="3"/>
  <c r="AZ392" i="3"/>
  <c r="AZ394" i="3"/>
  <c r="BL493" i="3"/>
  <c r="U36" i="40"/>
  <c r="F83" i="43"/>
  <c r="H85" i="43" s="1"/>
  <c r="F50" i="43"/>
  <c r="H54" i="43" s="1"/>
  <c r="F72" i="43"/>
  <c r="H75" i="43" s="1"/>
  <c r="U17" i="39"/>
  <c r="S14" i="35"/>
  <c r="U35" i="21"/>
  <c r="G10" i="1"/>
  <c r="W37" i="37"/>
  <c r="AC44" i="34"/>
  <c r="U13" i="37"/>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s="1"/>
  <c r="H44" i="34"/>
  <c r="AB44" i="34" s="1"/>
  <c r="AC38" i="39"/>
  <c r="F39" i="39"/>
  <c r="S39" i="39" s="1"/>
  <c r="J39" i="39"/>
  <c r="AC39" i="39" s="1"/>
  <c r="E96" i="39"/>
  <c r="F96" i="39" s="1"/>
  <c r="G96" i="39" s="1"/>
  <c r="C40" i="11"/>
  <c r="AZ215" i="3"/>
  <c r="AZ232" i="3"/>
  <c r="AZ29" i="3"/>
  <c r="AZ31" i="3"/>
  <c r="AZ33" i="3"/>
  <c r="AZ37" i="3"/>
  <c r="AZ45" i="3"/>
  <c r="AZ50" i="3"/>
  <c r="AZ77" i="3"/>
  <c r="AZ82" i="3"/>
  <c r="AZ86" i="3"/>
  <c r="F23" i="39"/>
  <c r="AA23" i="39" s="1"/>
  <c r="H27" i="36"/>
  <c r="U27" i="36" s="1"/>
  <c r="F27" i="36"/>
  <c r="AA27" i="36" s="1"/>
  <c r="H33" i="34"/>
  <c r="U33" i="34" s="1"/>
  <c r="F32" i="37"/>
  <c r="F20" i="36"/>
  <c r="AA20" i="36" s="1"/>
  <c r="J33" i="34"/>
  <c r="AC33" i="34" s="1"/>
  <c r="H23" i="39"/>
  <c r="U23" i="39" s="1"/>
  <c r="D48" i="9"/>
  <c r="M52" i="9" s="1"/>
  <c r="K9" i="1"/>
  <c r="M9" i="1" s="1"/>
  <c r="D93" i="9"/>
  <c r="K6" i="1"/>
  <c r="AP6" i="1"/>
  <c r="AC26" i="33"/>
  <c r="W27" i="34"/>
  <c r="AB34" i="36"/>
  <c r="U34" i="36"/>
  <c r="AB33" i="36"/>
  <c r="U33" i="36"/>
  <c r="W12" i="39"/>
  <c r="AC39" i="40"/>
  <c r="W39" i="40"/>
  <c r="AZ412" i="3"/>
  <c r="AZ465" i="3"/>
  <c r="W12" i="33"/>
  <c r="AA32" i="36"/>
  <c r="S32" i="36"/>
  <c r="AZ437" i="3"/>
  <c r="AZ490" i="3"/>
  <c r="BL14" i="3"/>
  <c r="U30" i="33"/>
  <c r="AC13" i="34"/>
  <c r="W28" i="37"/>
  <c r="S19" i="39"/>
  <c r="F12" i="33"/>
  <c r="H12" i="39"/>
  <c r="AB12" i="39" s="1"/>
  <c r="F39" i="40"/>
  <c r="BA14" i="3"/>
  <c r="AZ14" i="3"/>
  <c r="AZ213" i="3"/>
  <c r="AZ234" i="3"/>
  <c r="AZ250" i="3"/>
  <c r="AZ281" i="3"/>
  <c r="AZ165" i="3"/>
  <c r="AZ181" i="3"/>
  <c r="AZ35" i="3"/>
  <c r="AZ41" i="3"/>
  <c r="B12" i="1"/>
  <c r="E12" i="1" s="1"/>
  <c r="B10" i="1"/>
  <c r="E10" i="1" s="1"/>
  <c r="AZ84" i="3"/>
  <c r="AZ88" i="3"/>
  <c r="AZ107" i="3"/>
  <c r="AZ111" i="3"/>
  <c r="K12" i="1"/>
  <c r="M12" i="1" s="1"/>
  <c r="S13" i="1"/>
  <c r="AR13" i="1" s="1"/>
  <c r="R13" i="1"/>
  <c r="C42" i="1"/>
  <c r="C24" i="12"/>
  <c r="AA34" i="33"/>
  <c r="AB37" i="40"/>
  <c r="S35" i="40"/>
  <c r="AC36" i="40"/>
  <c r="W38" i="40"/>
  <c r="AA32" i="40"/>
  <c r="S17" i="40"/>
  <c r="S23" i="40"/>
  <c r="AC17" i="40"/>
  <c r="AC15" i="40"/>
  <c r="S30" i="40"/>
  <c r="S28" i="40"/>
  <c r="AA27" i="40"/>
  <c r="U21" i="40"/>
  <c r="U37" i="39"/>
  <c r="U35" i="39"/>
  <c r="F32" i="39"/>
  <c r="F106" i="39"/>
  <c r="G106" i="39" s="1"/>
  <c r="H106" i="39" s="1"/>
  <c r="I106" i="39" s="1"/>
  <c r="J106" i="39" s="1"/>
  <c r="K106" i="39" s="1"/>
  <c r="L106" i="39" s="1"/>
  <c r="M106" i="39" s="1"/>
  <c r="U25" i="39"/>
  <c r="AB27" i="39"/>
  <c r="U31" i="39"/>
  <c r="J21" i="39"/>
  <c r="W21" i="39"/>
  <c r="F21" i="39"/>
  <c r="G94" i="39"/>
  <c r="H21" i="39"/>
  <c r="W19" i="39"/>
  <c r="U19" i="39"/>
  <c r="S17" i="39"/>
  <c r="AA12" i="39"/>
  <c r="S9" i="39"/>
  <c r="U14" i="39"/>
  <c r="AC13" i="39"/>
  <c r="U12" i="39"/>
  <c r="U26" i="36"/>
  <c r="S33" i="36"/>
  <c r="AA34" i="36"/>
  <c r="AC26" i="36"/>
  <c r="AA22" i="36"/>
  <c r="W14" i="36"/>
  <c r="AB14" i="36"/>
  <c r="U22" i="36"/>
  <c r="S16" i="36"/>
  <c r="S24" i="36"/>
  <c r="U24" i="36"/>
  <c r="U16" i="36"/>
  <c r="W24" i="35"/>
  <c r="U29" i="35"/>
  <c r="U28" i="35"/>
  <c r="AB27" i="35"/>
  <c r="U32" i="35"/>
  <c r="AA33" i="35"/>
  <c r="AC30" i="35"/>
  <c r="S32" i="35"/>
  <c r="AA36" i="35"/>
  <c r="S28" i="35"/>
  <c r="AB16" i="35"/>
  <c r="U22" i="35"/>
  <c r="S20" i="35"/>
  <c r="AC20" i="35"/>
  <c r="S22" i="35"/>
  <c r="U14" i="35"/>
  <c r="AA11" i="35"/>
  <c r="AC9" i="35"/>
  <c r="W9" i="35"/>
  <c r="F9" i="35"/>
  <c r="S9" i="35" s="1"/>
  <c r="H9" i="35"/>
  <c r="U9" i="35" s="1"/>
  <c r="AB40" i="37"/>
  <c r="S25" i="37"/>
  <c r="AC29" i="37"/>
  <c r="U29" i="37"/>
  <c r="AB31" i="37"/>
  <c r="W30" i="37"/>
  <c r="S36" i="37"/>
  <c r="AA38" i="37"/>
  <c r="U32" i="37"/>
  <c r="W38" i="37"/>
  <c r="AC35" i="37"/>
  <c r="W39" i="37"/>
  <c r="S30" i="37"/>
  <c r="AC15" i="37"/>
  <c r="J17" i="37"/>
  <c r="W17" i="37" s="1"/>
  <c r="F17" i="37"/>
  <c r="AA17" i="37" s="1"/>
  <c r="F75" i="37"/>
  <c r="F19" i="37"/>
  <c r="F79" i="37"/>
  <c r="F23" i="37"/>
  <c r="S23" i="37" s="1"/>
  <c r="U23" i="37"/>
  <c r="U15" i="37"/>
  <c r="AC13" i="37"/>
  <c r="AA13" i="37"/>
  <c r="H10" i="37"/>
  <c r="AB10" i="37" s="1"/>
  <c r="F11" i="37"/>
  <c r="S11" i="37" s="1"/>
  <c r="W25" i="34"/>
  <c r="AB8" i="34"/>
  <c r="AA33" i="34"/>
  <c r="U43" i="34"/>
  <c r="AC39" i="34"/>
  <c r="W41" i="34"/>
  <c r="AC42" i="34"/>
  <c r="AB35" i="34"/>
  <c r="U39" i="34"/>
  <c r="S43" i="34"/>
  <c r="AA25" i="34"/>
  <c r="S17" i="34"/>
  <c r="S23" i="34"/>
  <c r="U15" i="34"/>
  <c r="S13" i="34"/>
  <c r="H10" i="34"/>
  <c r="AB10" i="34" s="1"/>
  <c r="F11" i="34"/>
  <c r="S11" i="34" s="1"/>
  <c r="F70" i="34"/>
  <c r="W42" i="33"/>
  <c r="AA35" i="33"/>
  <c r="S27" i="33"/>
  <c r="S32" i="33"/>
  <c r="W38" i="33"/>
  <c r="H41" i="33"/>
  <c r="F121" i="33"/>
  <c r="G121" i="33"/>
  <c r="H121" i="33" s="1"/>
  <c r="I121" i="33" s="1"/>
  <c r="J121" i="33" s="1"/>
  <c r="K121" i="33" s="1"/>
  <c r="L121" i="33" s="1"/>
  <c r="M121" i="33" s="1"/>
  <c r="U42" i="33"/>
  <c r="S42" i="33"/>
  <c r="F36" i="33"/>
  <c r="AA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1" i="21"/>
  <c r="AB39" i="21"/>
  <c r="S39" i="21"/>
  <c r="AA38" i="21"/>
  <c r="J15" i="21"/>
  <c r="W15" i="21" s="1"/>
  <c r="F77" i="21"/>
  <c r="G77" i="21" s="1"/>
  <c r="F23" i="21"/>
  <c r="S23" i="21" s="1"/>
  <c r="E85" i="21"/>
  <c r="D120" i="9"/>
  <c r="D121" i="9" s="1"/>
  <c r="D7" i="52" s="1"/>
  <c r="C18" i="9"/>
  <c r="D18" i="9" s="1"/>
  <c r="F34" i="67"/>
  <c r="F62" i="67" s="1"/>
  <c r="M20" i="67"/>
  <c r="F34" i="15"/>
  <c r="F62" i="15"/>
  <c r="G13" i="3"/>
  <c r="BA13" i="3"/>
  <c r="BL17" i="3"/>
  <c r="AZ17" i="3"/>
  <c r="BL13" i="3"/>
  <c r="J56" i="9"/>
  <c r="J57" i="9" s="1"/>
  <c r="J59" i="9" s="1"/>
  <c r="J61" i="9" s="1"/>
  <c r="A24" i="51"/>
  <c r="B18" i="72" s="1"/>
  <c r="E32" i="6"/>
  <c r="G1" i="68"/>
  <c r="K1" i="12"/>
  <c r="E19" i="69"/>
  <c r="E19" i="11"/>
  <c r="G22" i="69"/>
  <c r="G26" i="12"/>
  <c r="C6" i="43"/>
  <c r="B19" i="53"/>
  <c r="B37" i="72" s="1"/>
  <c r="C7" i="39"/>
  <c r="C67" i="39" s="1"/>
  <c r="C69" i="39" s="1"/>
  <c r="C7" i="35"/>
  <c r="C7" i="33"/>
  <c r="C7" i="21"/>
  <c r="C7" i="40"/>
  <c r="C63" i="40" s="1"/>
  <c r="M47" i="9"/>
  <c r="G23" i="43"/>
  <c r="C46" i="36"/>
  <c r="D46" i="36"/>
  <c r="E46" i="36" s="1"/>
  <c r="C52" i="37"/>
  <c r="D52" i="37" s="1"/>
  <c r="A4" i="51"/>
  <c r="B6" i="72" s="1"/>
  <c r="C48" i="35"/>
  <c r="D48" i="35" s="1"/>
  <c r="H67" i="43"/>
  <c r="L20" i="6"/>
  <c r="B6" i="1"/>
  <c r="E6" i="1" s="1"/>
  <c r="K11" i="1"/>
  <c r="M11" i="1" s="1"/>
  <c r="O11" i="1"/>
  <c r="B9" i="1"/>
  <c r="E9" i="1" s="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AB28" i="36"/>
  <c r="AA13" i="36"/>
  <c r="W22" i="36"/>
  <c r="AB20" i="35"/>
  <c r="S24" i="35"/>
  <c r="U24" i="35"/>
  <c r="AA16" i="35"/>
  <c r="AA35" i="37"/>
  <c r="W36" i="37"/>
  <c r="S27" i="37"/>
  <c r="S28" i="37"/>
  <c r="W32" i="37"/>
  <c r="U36" i="37"/>
  <c r="U38" i="37"/>
  <c r="AB37" i="37"/>
  <c r="AC34" i="37"/>
  <c r="AB35" i="37"/>
  <c r="AA31" i="37"/>
  <c r="U19" i="37"/>
  <c r="AA29" i="37"/>
  <c r="U8" i="37"/>
  <c r="AA40" i="34"/>
  <c r="AB40" i="34"/>
  <c r="U19" i="34"/>
  <c r="W19" i="34"/>
  <c r="AB33" i="34"/>
  <c r="AA31" i="34"/>
  <c r="U25" i="34"/>
  <c r="AB36" i="34"/>
  <c r="W33" i="34"/>
  <c r="AC14" i="34"/>
  <c r="AC29" i="34"/>
  <c r="W29" i="34"/>
  <c r="W46" i="34"/>
  <c r="AC46" i="34"/>
  <c r="S32" i="34"/>
  <c r="AA32" i="34"/>
  <c r="S37" i="34"/>
  <c r="U38" i="34"/>
  <c r="AC40" i="34"/>
  <c r="W40" i="34"/>
  <c r="AA19" i="34"/>
  <c r="S19" i="34"/>
  <c r="AA36" i="34"/>
  <c r="S36" i="34"/>
  <c r="AA8" i="34"/>
  <c r="S8" i="34"/>
  <c r="AB9" i="34"/>
  <c r="U9" i="34"/>
  <c r="U32" i="34"/>
  <c r="AB32"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F33" i="21"/>
  <c r="AA33" i="21" s="1"/>
  <c r="J33" i="21"/>
  <c r="AC33" i="21" s="1"/>
  <c r="H33" i="21"/>
  <c r="AB33" i="21" s="1"/>
  <c r="F37" i="21"/>
  <c r="AA37" i="21"/>
  <c r="AB46" i="21"/>
  <c r="U40" i="21"/>
  <c r="U31" i="21"/>
  <c r="S35" i="21"/>
  <c r="J37" i="21"/>
  <c r="W37" i="21"/>
  <c r="H15" i="21"/>
  <c r="U15" i="21" s="1"/>
  <c r="J17" i="21"/>
  <c r="AC17" i="21" s="1"/>
  <c r="AC19" i="21"/>
  <c r="W39" i="21"/>
  <c r="AC14" i="21"/>
  <c r="S46" i="21"/>
  <c r="H45" i="21"/>
  <c r="U45" i="21" s="1"/>
  <c r="F29" i="21"/>
  <c r="S29" i="21" s="1"/>
  <c r="H32" i="21"/>
  <c r="U32" i="21" s="1"/>
  <c r="H9" i="21"/>
  <c r="J9" i="21"/>
  <c r="W9" i="21" s="1"/>
  <c r="J32" i="21"/>
  <c r="W32" i="21" s="1"/>
  <c r="F32" i="21"/>
  <c r="S32" i="21" s="1"/>
  <c r="S9" i="21"/>
  <c r="AA9" i="21"/>
  <c r="K141" i="21"/>
  <c r="K144" i="21"/>
  <c r="K143" i="21"/>
  <c r="AB25" i="21"/>
  <c r="AB44" i="21"/>
  <c r="AC45" i="21"/>
  <c r="F10" i="21"/>
  <c r="AA10" i="21" s="1"/>
  <c r="K145" i="21"/>
  <c r="W17" i="21"/>
  <c r="W25" i="21"/>
  <c r="W30" i="40"/>
  <c r="C19" i="39"/>
  <c r="C15" i="40"/>
  <c r="C17" i="40"/>
  <c r="C23" i="40"/>
  <c r="C21" i="40"/>
  <c r="U30" i="40"/>
  <c r="B56" i="43"/>
  <c r="B67" i="43"/>
  <c r="B51" i="43"/>
  <c r="B54" i="43"/>
  <c r="B58" i="43"/>
  <c r="B62" i="43"/>
  <c r="B65" i="43"/>
  <c r="B69" i="43"/>
  <c r="D23" i="15"/>
  <c r="D22" i="15"/>
  <c r="E4" i="4"/>
  <c r="B5" i="62" s="1"/>
  <c r="B73" i="72" s="1"/>
  <c r="C4" i="4"/>
  <c r="K4" i="4" s="1"/>
  <c r="AA39" i="40"/>
  <c r="S39" i="40"/>
  <c r="S12" i="33"/>
  <c r="AA12" i="33"/>
  <c r="J32" i="39"/>
  <c r="H32" i="39"/>
  <c r="AB32" i="39" s="1"/>
  <c r="AA32" i="39"/>
  <c r="S32" i="39"/>
  <c r="AB21" i="39"/>
  <c r="U21" i="39"/>
  <c r="AA21" i="39"/>
  <c r="S21" i="39"/>
  <c r="AC17" i="37"/>
  <c r="S17" i="37"/>
  <c r="J19" i="37"/>
  <c r="W19" i="37" s="1"/>
  <c r="G75" i="37"/>
  <c r="S19" i="37"/>
  <c r="AA19" i="37"/>
  <c r="AA23" i="37"/>
  <c r="J23" i="37"/>
  <c r="AC23" i="37" s="1"/>
  <c r="G79" i="37"/>
  <c r="J10" i="37"/>
  <c r="W10" i="37" s="1"/>
  <c r="G63" i="37"/>
  <c r="H11" i="37"/>
  <c r="AB11" i="37" s="1"/>
  <c r="G70" i="34"/>
  <c r="H70" i="34" s="1"/>
  <c r="I70" i="34" s="1"/>
  <c r="J70" i="34" s="1"/>
  <c r="K70" i="34" s="1"/>
  <c r="L70" i="34" s="1"/>
  <c r="M70" i="34" s="1"/>
  <c r="H11" i="34"/>
  <c r="U11" i="34"/>
  <c r="J10" i="34"/>
  <c r="AC10" i="34"/>
  <c r="AB41" i="33"/>
  <c r="U41" i="33"/>
  <c r="W35" i="33"/>
  <c r="AC35" i="33"/>
  <c r="H111" i="33"/>
  <c r="I111" i="33"/>
  <c r="J111" i="33" s="1"/>
  <c r="K111" i="33" s="1"/>
  <c r="L111" i="33" s="1"/>
  <c r="M111" i="33" s="1"/>
  <c r="J36" i="33"/>
  <c r="W36" i="33"/>
  <c r="H36" i="33"/>
  <c r="U36" i="33"/>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U19" i="33" s="1"/>
  <c r="G81" i="33"/>
  <c r="G79" i="33"/>
  <c r="H17" i="33"/>
  <c r="AB17" i="33" s="1"/>
  <c r="F17" i="33"/>
  <c r="S17" i="33" s="1"/>
  <c r="W17" i="33"/>
  <c r="AC17" i="33"/>
  <c r="S37" i="21"/>
  <c r="J23" i="21"/>
  <c r="W23" i="21" s="1"/>
  <c r="F85" i="21"/>
  <c r="G85" i="21" s="1"/>
  <c r="H23" i="21"/>
  <c r="D6" i="52"/>
  <c r="AP7" i="1"/>
  <c r="AB45" i="21"/>
  <c r="AB9" i="21"/>
  <c r="U9" i="21"/>
  <c r="A18" i="62"/>
  <c r="B64" i="72" s="1"/>
  <c r="U32" i="39"/>
  <c r="AC32" i="39"/>
  <c r="W32" i="39"/>
  <c r="AC19" i="37"/>
  <c r="W23" i="37"/>
  <c r="H63" i="37"/>
  <c r="I63" i="37" s="1"/>
  <c r="J63" i="37" s="1"/>
  <c r="K63" i="37" s="1"/>
  <c r="L63" i="37" s="1"/>
  <c r="M63" i="37" s="1"/>
  <c r="J11" i="37"/>
  <c r="AC11" i="37" s="1"/>
  <c r="J11" i="34"/>
  <c r="W11" i="34" s="1"/>
  <c r="AB36" i="33"/>
  <c r="W27" i="33"/>
  <c r="AC27" i="33"/>
  <c r="W25" i="33"/>
  <c r="AC25" i="33"/>
  <c r="AB19" i="33"/>
  <c r="AA17" i="33"/>
  <c r="U17" i="33"/>
  <c r="AC23" i="21"/>
  <c r="H109" i="9"/>
  <c r="M49" i="9"/>
  <c r="H112" i="9"/>
  <c r="D21" i="53"/>
  <c r="B39" i="72" s="1"/>
  <c r="H111" i="9"/>
  <c r="D126" i="9" s="1"/>
  <c r="AD3" i="71"/>
  <c r="J1" i="73"/>
  <c r="H69" i="43"/>
  <c r="H50" i="43"/>
  <c r="C22" i="71"/>
  <c r="D23" i="71"/>
  <c r="D24" i="71"/>
  <c r="U24" i="71" s="1"/>
  <c r="S24" i="71"/>
  <c r="T24" i="71"/>
  <c r="AB22" i="71"/>
  <c r="X20" i="71"/>
  <c r="X19" i="71"/>
  <c r="AA20" i="71"/>
  <c r="AA19" i="71"/>
  <c r="X23" i="71"/>
  <c r="Y19" i="71"/>
  <c r="Z19" i="71" s="1"/>
  <c r="AB20" i="71"/>
  <c r="AB19" i="71"/>
  <c r="S20" i="71"/>
  <c r="Y20" i="71"/>
  <c r="Z20" i="71" s="1"/>
  <c r="X3" i="71"/>
  <c r="E21" i="71"/>
  <c r="E20" i="71" s="1"/>
  <c r="AC12" i="36"/>
  <c r="W12" i="36"/>
  <c r="AB40" i="40"/>
  <c r="U40" i="40"/>
  <c r="AA32" i="37"/>
  <c r="S32" i="37"/>
  <c r="AC12" i="40"/>
  <c r="W12" i="40"/>
  <c r="AZ373" i="3"/>
  <c r="AZ371" i="3"/>
  <c r="AZ577" i="3"/>
  <c r="AZ582" i="3"/>
  <c r="BN5" i="3"/>
  <c r="BA581" i="3"/>
  <c r="BA580" i="3"/>
  <c r="AZ580" i="3" s="1"/>
  <c r="BA579" i="3"/>
  <c r="BL578" i="3"/>
  <c r="BA578" i="3"/>
  <c r="BL576" i="3"/>
  <c r="BA576" i="3"/>
  <c r="BA575" i="3"/>
  <c r="BA574" i="3"/>
  <c r="AZ574" i="3" s="1"/>
  <c r="BA564" i="3"/>
  <c r="AZ564" i="3" s="1"/>
  <c r="BA563" i="3"/>
  <c r="BL562" i="3"/>
  <c r="BA562" i="3"/>
  <c r="BL560" i="3"/>
  <c r="BA560" i="3"/>
  <c r="BA559" i="3"/>
  <c r="BA551" i="3"/>
  <c r="BL550" i="3"/>
  <c r="BA550" i="3"/>
  <c r="B1" i="74"/>
  <c r="B14" i="74" s="1"/>
  <c r="C41" i="21"/>
  <c r="U41" i="21"/>
  <c r="P3" i="81"/>
  <c r="BL15" i="3"/>
  <c r="AZ15" i="3"/>
  <c r="U35" i="40"/>
  <c r="AC34" i="33"/>
  <c r="AA39" i="34"/>
  <c r="AZ16" i="3"/>
  <c r="AZ390" i="3"/>
  <c r="AZ382" i="3"/>
  <c r="AZ364" i="3"/>
  <c r="AZ329" i="3"/>
  <c r="AZ380" i="3"/>
  <c r="AZ341" i="3"/>
  <c r="AZ325" i="3"/>
  <c r="AZ309" i="3"/>
  <c r="AB13" i="34"/>
  <c r="W14" i="37"/>
  <c r="AZ571" i="3"/>
  <c r="AZ498" i="3"/>
  <c r="AZ510" i="3"/>
  <c r="AZ514" i="3"/>
  <c r="S44" i="34"/>
  <c r="S11" i="36"/>
  <c r="U46" i="33"/>
  <c r="AA29" i="35"/>
  <c r="U33" i="35"/>
  <c r="W39" i="33"/>
  <c r="U33" i="33"/>
  <c r="J40" i="21"/>
  <c r="W40" i="21"/>
  <c r="BL586" i="3"/>
  <c r="BA586" i="3"/>
  <c r="AZ586" i="3" s="1"/>
  <c r="BS5" i="3"/>
  <c r="BO5" i="3"/>
  <c r="F29" i="6"/>
  <c r="BL585" i="3"/>
  <c r="AZ585" i="3"/>
  <c r="BJ5" i="3"/>
  <c r="BF5" i="3"/>
  <c r="BB5" i="3"/>
  <c r="E5" i="6" s="1"/>
  <c r="J36" i="21"/>
  <c r="F42" i="21"/>
  <c r="AA42" i="21" s="1"/>
  <c r="B73" i="43"/>
  <c r="B79" i="43"/>
  <c r="B76" i="43"/>
  <c r="B75" i="43"/>
  <c r="H12" i="36"/>
  <c r="U12" i="36" s="1"/>
  <c r="F44" i="39"/>
  <c r="G574" i="3"/>
  <c r="G558" i="3"/>
  <c r="G542" i="3"/>
  <c r="G541" i="3"/>
  <c r="BL540" i="3"/>
  <c r="AZ540" i="3" s="1"/>
  <c r="G540" i="3"/>
  <c r="BA539" i="3"/>
  <c r="BL538" i="3"/>
  <c r="AZ538" i="3" s="1"/>
  <c r="G537" i="3"/>
  <c r="BA535" i="3"/>
  <c r="G535" i="3"/>
  <c r="G533" i="3"/>
  <c r="BA531" i="3"/>
  <c r="AZ531" i="3" s="1"/>
  <c r="G531" i="3"/>
  <c r="BL530" i="3"/>
  <c r="AZ530" i="3" s="1"/>
  <c r="G529" i="3"/>
  <c r="BA528" i="3"/>
  <c r="AZ528" i="3" s="1"/>
  <c r="BA527" i="3"/>
  <c r="G527" i="3"/>
  <c r="BA526" i="3"/>
  <c r="AZ526" i="3" s="1"/>
  <c r="G525" i="3"/>
  <c r="BA524" i="3"/>
  <c r="AZ524" i="3" s="1"/>
  <c r="BA523" i="3"/>
  <c r="AZ523" i="3" s="1"/>
  <c r="BL522" i="3"/>
  <c r="BA522" i="3"/>
  <c r="BL518" i="3"/>
  <c r="BA518" i="3"/>
  <c r="AZ518" i="3" s="1"/>
  <c r="G518" i="3"/>
  <c r="BA517" i="3"/>
  <c r="AZ517" i="3" s="1"/>
  <c r="BA516" i="3"/>
  <c r="AZ516" i="3" s="1"/>
  <c r="G14" i="3"/>
  <c r="G399" i="3"/>
  <c r="BL399" i="3"/>
  <c r="AZ399" i="3" s="1"/>
  <c r="BA400" i="3"/>
  <c r="BA401" i="3"/>
  <c r="AZ401" i="3"/>
  <c r="BA402" i="3"/>
  <c r="AZ402" i="3"/>
  <c r="BL402" i="3"/>
  <c r="G404" i="3"/>
  <c r="BL404" i="3"/>
  <c r="BA405" i="3"/>
  <c r="AZ405" i="3" s="1"/>
  <c r="BA406" i="3"/>
  <c r="BL406" i="3"/>
  <c r="BA407" i="3"/>
  <c r="BA408" i="3"/>
  <c r="AZ408" i="3" s="1"/>
  <c r="G411" i="3"/>
  <c r="BL411" i="3"/>
  <c r="G414" i="3"/>
  <c r="BL414" i="3"/>
  <c r="AZ414" i="3" s="1"/>
  <c r="BA415" i="3"/>
  <c r="AZ415" i="3" s="1"/>
  <c r="AZ442" i="3"/>
  <c r="AZ458" i="3"/>
  <c r="AZ462" i="3"/>
  <c r="AZ469" i="3"/>
  <c r="BL417" i="3"/>
  <c r="AZ417" i="3" s="1"/>
  <c r="G419" i="3"/>
  <c r="G421" i="3"/>
  <c r="BL421" i="3"/>
  <c r="AZ421" i="3" s="1"/>
  <c r="G423" i="3"/>
  <c r="BL423" i="3"/>
  <c r="AZ423" i="3"/>
  <c r="BA424" i="3"/>
  <c r="AZ424" i="3"/>
  <c r="G427" i="3"/>
  <c r="BL427" i="3"/>
  <c r="AZ427" i="3" s="1"/>
  <c r="G430" i="3"/>
  <c r="BL430" i="3"/>
  <c r="AZ430" i="3" s="1"/>
  <c r="BA431" i="3"/>
  <c r="BL433" i="3"/>
  <c r="AZ433" i="3" s="1"/>
  <c r="G435" i="3"/>
  <c r="G437" i="3"/>
  <c r="G438" i="3"/>
  <c r="G440" i="3"/>
  <c r="BL440" i="3"/>
  <c r="AZ440" i="3" s="1"/>
  <c r="BA443" i="3"/>
  <c r="BL443" i="3"/>
  <c r="BA444" i="3"/>
  <c r="AZ444" i="3"/>
  <c r="BL444" i="3"/>
  <c r="G446" i="3"/>
  <c r="BA447" i="3"/>
  <c r="AZ447" i="3"/>
  <c r="BA449" i="3"/>
  <c r="AZ449" i="3"/>
  <c r="BA450" i="3"/>
  <c r="BL450" i="3"/>
  <c r="AZ450" i="3" s="1"/>
  <c r="G452" i="3"/>
  <c r="BL452" i="3"/>
  <c r="G454" i="3"/>
  <c r="G456" i="3"/>
  <c r="BL456" i="3"/>
  <c r="AZ456" i="3"/>
  <c r="BA459" i="3"/>
  <c r="AZ459" i="3"/>
  <c r="BL459" i="3"/>
  <c r="BA460" i="3"/>
  <c r="AZ460" i="3" s="1"/>
  <c r="G465" i="3"/>
  <c r="G466" i="3"/>
  <c r="BL466" i="3"/>
  <c r="AZ466" i="3" s="1"/>
  <c r="BA467" i="3"/>
  <c r="AZ467" i="3" s="1"/>
  <c r="G472" i="3"/>
  <c r="BL472" i="3"/>
  <c r="AZ472" i="3" s="1"/>
  <c r="G475" i="3"/>
  <c r="BL475" i="3"/>
  <c r="BA476" i="3"/>
  <c r="AZ476" i="3" s="1"/>
  <c r="BA477" i="3"/>
  <c r="BL477" i="3"/>
  <c r="BA478" i="3"/>
  <c r="AZ478" i="3"/>
  <c r="G481" i="3"/>
  <c r="G483" i="3"/>
  <c r="BL483" i="3"/>
  <c r="BA484" i="3"/>
  <c r="AZ484" i="3"/>
  <c r="G487" i="3"/>
  <c r="G489" i="3"/>
  <c r="BL489" i="3"/>
  <c r="AZ489" i="3"/>
  <c r="BL491" i="3"/>
  <c r="AZ491" i="3"/>
  <c r="BA492" i="3"/>
  <c r="AZ492" i="3"/>
  <c r="G313" i="3"/>
  <c r="BA315" i="3"/>
  <c r="AZ315" i="3" s="1"/>
  <c r="BL316" i="3"/>
  <c r="G318" i="3"/>
  <c r="G329" i="3"/>
  <c r="BA331" i="3"/>
  <c r="AZ331" i="3" s="1"/>
  <c r="BL332" i="3"/>
  <c r="AZ332" i="3" s="1"/>
  <c r="G334" i="3"/>
  <c r="BL346" i="3"/>
  <c r="AZ346" i="3"/>
  <c r="G349" i="3"/>
  <c r="BA350" i="3"/>
  <c r="AZ350" i="3" s="1"/>
  <c r="BL353" i="3"/>
  <c r="AZ353" i="3" s="1"/>
  <c r="G362" i="3"/>
  <c r="G366" i="3"/>
  <c r="BA367" i="3"/>
  <c r="AZ367" i="3" s="1"/>
  <c r="BA370" i="3"/>
  <c r="AZ370" i="3" s="1"/>
  <c r="BA374" i="3"/>
  <c r="AZ374" i="3" s="1"/>
  <c r="G380" i="3"/>
  <c r="G384" i="3"/>
  <c r="BA386" i="3"/>
  <c r="G396" i="3"/>
  <c r="G397" i="3"/>
  <c r="BL397" i="3"/>
  <c r="AZ397" i="3" s="1"/>
  <c r="BA208" i="3"/>
  <c r="BA209" i="3"/>
  <c r="AZ209" i="3" s="1"/>
  <c r="G212" i="3"/>
  <c r="BL212" i="3"/>
  <c r="BL214" i="3"/>
  <c r="AZ214" i="3" s="1"/>
  <c r="G217" i="3"/>
  <c r="BL217" i="3"/>
  <c r="AZ217" i="3" s="1"/>
  <c r="G220" i="3"/>
  <c r="BL220" i="3"/>
  <c r="AZ220" i="3"/>
  <c r="BA221" i="3"/>
  <c r="BA222" i="3"/>
  <c r="AZ222" i="3"/>
  <c r="BA223" i="3"/>
  <c r="BA224" i="3"/>
  <c r="AZ224" i="3"/>
  <c r="G227" i="3"/>
  <c r="G228" i="3"/>
  <c r="BL228" i="3"/>
  <c r="AZ228" i="3"/>
  <c r="G231" i="3"/>
  <c r="BL231" i="3"/>
  <c r="BL233" i="3"/>
  <c r="AZ233" i="3" s="1"/>
  <c r="BL235" i="3"/>
  <c r="AZ235" i="3" s="1"/>
  <c r="BA236" i="3"/>
  <c r="AZ236" i="3" s="1"/>
  <c r="BA237" i="3"/>
  <c r="AZ237" i="3" s="1"/>
  <c r="BA238" i="3"/>
  <c r="AZ238" i="3" s="1"/>
  <c r="BL240" i="3"/>
  <c r="G243" i="3"/>
  <c r="G244" i="3"/>
  <c r="BL244" i="3"/>
  <c r="AZ244" i="3" s="1"/>
  <c r="G247" i="3"/>
  <c r="BL247" i="3"/>
  <c r="AZ247" i="3"/>
  <c r="BL249" i="3"/>
  <c r="BL251" i="3"/>
  <c r="AZ251" i="3"/>
  <c r="BA252" i="3"/>
  <c r="AZ252" i="3"/>
  <c r="BA253" i="3"/>
  <c r="AZ253" i="3"/>
  <c r="BA254" i="3"/>
  <c r="AZ254" i="3"/>
  <c r="BL256" i="3"/>
  <c r="AZ256" i="3"/>
  <c r="G259" i="3"/>
  <c r="BA260" i="3"/>
  <c r="BA261" i="3"/>
  <c r="AZ261" i="3" s="1"/>
  <c r="BL263" i="3"/>
  <c r="G264" i="3"/>
  <c r="BL264" i="3"/>
  <c r="AZ264" i="3" s="1"/>
  <c r="BL266" i="3"/>
  <c r="AZ266" i="3" s="1"/>
  <c r="BA267" i="3"/>
  <c r="BA268" i="3"/>
  <c r="AZ268" i="3" s="1"/>
  <c r="BA269" i="3"/>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G142" i="3"/>
  <c r="G143" i="3"/>
  <c r="G146" i="3"/>
  <c r="G147" i="3"/>
  <c r="BL149" i="3"/>
  <c r="AZ149" i="3" s="1"/>
  <c r="G152" i="3"/>
  <c r="C47" i="71"/>
  <c r="D47" i="71" s="1"/>
  <c r="D46" i="71"/>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BA194" i="3"/>
  <c r="AZ194" i="3" s="1"/>
  <c r="BL195" i="3"/>
  <c r="AZ195" i="3" s="1"/>
  <c r="BL198" i="3"/>
  <c r="BA200" i="3"/>
  <c r="AZ200" i="3" s="1"/>
  <c r="BL201" i="3"/>
  <c r="G204" i="3"/>
  <c r="G206" i="3"/>
  <c r="G207" i="3"/>
  <c r="BL207" i="3"/>
  <c r="BA18" i="3"/>
  <c r="AZ18" i="3" s="1"/>
  <c r="BA19" i="3"/>
  <c r="BA20" i="3"/>
  <c r="AZ20" i="3" s="1"/>
  <c r="BA21" i="3"/>
  <c r="G24" i="3"/>
  <c r="G25" i="3"/>
  <c r="BL25" i="3"/>
  <c r="G28" i="3"/>
  <c r="G29" i="3"/>
  <c r="G30" i="3"/>
  <c r="BL30" i="3"/>
  <c r="BL32" i="3"/>
  <c r="AZ32" i="3" s="1"/>
  <c r="G35" i="3"/>
  <c r="G36" i="3"/>
  <c r="BL36" i="3"/>
  <c r="G39" i="3"/>
  <c r="G40" i="3"/>
  <c r="BL40" i="3"/>
  <c r="AZ40" i="3" s="1"/>
  <c r="BL42" i="3"/>
  <c r="AZ42" i="3" s="1"/>
  <c r="G45" i="3"/>
  <c r="G46" i="3"/>
  <c r="BL46" i="3"/>
  <c r="G49" i="3"/>
  <c r="BL49" i="3"/>
  <c r="BL51" i="3"/>
  <c r="AZ51" i="3" s="1"/>
  <c r="BA52" i="3"/>
  <c r="AZ52" i="3" s="1"/>
  <c r="BA53" i="3"/>
  <c r="AZ53" i="3" s="1"/>
  <c r="BL55" i="3"/>
  <c r="AZ55" i="3" s="1"/>
  <c r="BA56" i="3"/>
  <c r="AZ56" i="3" s="1"/>
  <c r="BL58" i="3"/>
  <c r="AZ58" i="3" s="1"/>
  <c r="G61" i="3"/>
  <c r="G62" i="3"/>
  <c r="BL62" i="3"/>
  <c r="G65" i="3"/>
  <c r="BL65" i="3"/>
  <c r="BA66" i="3"/>
  <c r="AZ66" i="3" s="1"/>
  <c r="BA67" i="3"/>
  <c r="BL69" i="3"/>
  <c r="G71" i="3"/>
  <c r="G72" i="3"/>
  <c r="G73" i="3"/>
  <c r="BL73" i="3"/>
  <c r="BL75" i="3"/>
  <c r="G77" i="3"/>
  <c r="G78" i="3"/>
  <c r="BL78" i="3"/>
  <c r="BL80" i="3"/>
  <c r="AZ80" i="3" s="1"/>
  <c r="G82" i="3"/>
  <c r="G83" i="3"/>
  <c r="C43" i="71"/>
  <c r="C44" i="71" s="1"/>
  <c r="D44" i="71" s="1"/>
  <c r="D42" i="71"/>
  <c r="J51" i="67"/>
  <c r="S21" i="34"/>
  <c r="F31" i="71"/>
  <c r="F32" i="71" s="1"/>
  <c r="V32" i="71" s="1"/>
  <c r="B63" i="71"/>
  <c r="B64" i="71"/>
  <c r="S64" i="71" s="1"/>
  <c r="G84" i="3"/>
  <c r="G85" i="3"/>
  <c r="G86" i="3"/>
  <c r="G87" i="3"/>
  <c r="BL87" i="3"/>
  <c r="BL89" i="3"/>
  <c r="AZ89" i="3" s="1"/>
  <c r="G91" i="3"/>
  <c r="BL91" i="3"/>
  <c r="AZ91" i="3" s="1"/>
  <c r="G93" i="3"/>
  <c r="G94" i="3"/>
  <c r="G95" i="3"/>
  <c r="BL95" i="3"/>
  <c r="BA96" i="3"/>
  <c r="AZ96" i="3" s="1"/>
  <c r="BA97" i="3"/>
  <c r="AZ97" i="3" s="1"/>
  <c r="G100" i="3"/>
  <c r="BL100" i="3"/>
  <c r="AZ100" i="3" s="1"/>
  <c r="BL102" i="3"/>
  <c r="AZ102" i="3" s="1"/>
  <c r="BA103" i="3"/>
  <c r="BL105" i="3"/>
  <c r="G107" i="3"/>
  <c r="G108" i="3"/>
  <c r="BL108" i="3"/>
  <c r="BL110" i="3"/>
  <c r="AZ110" i="3" s="1"/>
  <c r="F3" i="35"/>
  <c r="C40" i="68"/>
  <c r="C40" i="69"/>
  <c r="AC21" i="33"/>
  <c r="S21" i="37"/>
  <c r="D52" i="71"/>
  <c r="O65" i="71"/>
  <c r="C82" i="71"/>
  <c r="D82" i="71" s="1"/>
  <c r="X29" i="71"/>
  <c r="AA37" i="71"/>
  <c r="AA41" i="21"/>
  <c r="S42" i="21"/>
  <c r="AC40" i="21"/>
  <c r="AC38" i="21"/>
  <c r="AC35" i="21"/>
  <c r="AB32" i="21"/>
  <c r="U27" i="21"/>
  <c r="S27" i="21"/>
  <c r="AA23" i="21"/>
  <c r="AB21" i="21"/>
  <c r="S19" i="21"/>
  <c r="S17" i="21"/>
  <c r="U17" i="21"/>
  <c r="AA15" i="21"/>
  <c r="AC15" i="21"/>
  <c r="AB15" i="21"/>
  <c r="AC29" i="21"/>
  <c r="W29" i="21"/>
  <c r="AA29" i="21"/>
  <c r="H29" i="21"/>
  <c r="U13" i="21"/>
  <c r="AB13" i="21"/>
  <c r="S12" i="21"/>
  <c r="AA12" i="21"/>
  <c r="W12" i="21"/>
  <c r="F13" i="21"/>
  <c r="J13" i="21"/>
  <c r="W13" i="21" s="1"/>
  <c r="H12" i="21"/>
  <c r="S40" i="21"/>
  <c r="AC27" i="21"/>
  <c r="B41" i="1"/>
  <c r="F53" i="9" s="1"/>
  <c r="E19" i="71"/>
  <c r="E18" i="71" s="1"/>
  <c r="E17" i="71" s="1"/>
  <c r="E16" i="71" s="1"/>
  <c r="V20" i="71"/>
  <c r="D16" i="53"/>
  <c r="B34" i="72"/>
  <c r="W11" i="39"/>
  <c r="AC11" i="39"/>
  <c r="AA15" i="37"/>
  <c r="S15" i="37"/>
  <c r="AZ583" i="3"/>
  <c r="AZ558" i="3"/>
  <c r="AC35" i="40"/>
  <c r="W35" i="40"/>
  <c r="AB12" i="40"/>
  <c r="U12" i="40"/>
  <c r="W11" i="35"/>
  <c r="AC11" i="35"/>
  <c r="AA21" i="40"/>
  <c r="S21" i="40"/>
  <c r="G29" i="6"/>
  <c r="BL541" i="3"/>
  <c r="AZ541" i="3" s="1"/>
  <c r="BL537" i="3"/>
  <c r="AZ537" i="3" s="1"/>
  <c r="AZ535" i="3"/>
  <c r="BL533" i="3"/>
  <c r="AZ533" i="3" s="1"/>
  <c r="BL529" i="3"/>
  <c r="AZ529" i="3" s="1"/>
  <c r="AZ527" i="3"/>
  <c r="BL525" i="3"/>
  <c r="AZ525" i="3" s="1"/>
  <c r="BL521" i="3"/>
  <c r="AZ521" i="3" s="1"/>
  <c r="G521" i="3"/>
  <c r="G28" i="6"/>
  <c r="AZ334" i="3"/>
  <c r="AZ351" i="3"/>
  <c r="AZ327" i="3"/>
  <c r="W12" i="37"/>
  <c r="AC12" i="37"/>
  <c r="AZ493" i="3"/>
  <c r="AZ497" i="3"/>
  <c r="AZ501" i="3"/>
  <c r="AZ565" i="3"/>
  <c r="AZ569" i="3"/>
  <c r="AZ573" i="3"/>
  <c r="AZ508" i="3"/>
  <c r="AZ520" i="3"/>
  <c r="AZ534" i="3"/>
  <c r="AZ556" i="3"/>
  <c r="U33" i="40"/>
  <c r="AB33" i="40"/>
  <c r="W21" i="40"/>
  <c r="AC21" i="40"/>
  <c r="BL581" i="3"/>
  <c r="AZ581" i="3" s="1"/>
  <c r="BL579" i="3"/>
  <c r="AZ579" i="3" s="1"/>
  <c r="BL575" i="3"/>
  <c r="AZ575" i="3" s="1"/>
  <c r="BL563" i="3"/>
  <c r="AZ563" i="3" s="1"/>
  <c r="BL561" i="3"/>
  <c r="AZ561" i="3" s="1"/>
  <c r="AZ559" i="3"/>
  <c r="BL551" i="3"/>
  <c r="AZ551" i="3"/>
  <c r="J34" i="35"/>
  <c r="H34" i="35"/>
  <c r="AB34" i="35" s="1"/>
  <c r="F34" i="35"/>
  <c r="AZ425" i="3"/>
  <c r="AZ432" i="3"/>
  <c r="F9" i="37"/>
  <c r="S9" i="37" s="1"/>
  <c r="U26" i="37"/>
  <c r="W23" i="35"/>
  <c r="H27" i="34"/>
  <c r="U27" i="34" s="1"/>
  <c r="AB27" i="37"/>
  <c r="J27" i="37"/>
  <c r="W27" i="37" s="1"/>
  <c r="H43" i="39"/>
  <c r="F43" i="39"/>
  <c r="AA43" i="39" s="1"/>
  <c r="H25" i="36"/>
  <c r="F25" i="36"/>
  <c r="AA25" i="36" s="1"/>
  <c r="F40" i="37"/>
  <c r="J40" i="37"/>
  <c r="W40" i="37" s="1"/>
  <c r="J32" i="36"/>
  <c r="W32" i="36" s="1"/>
  <c r="F46" i="34"/>
  <c r="J32" i="34"/>
  <c r="AC32" i="34" s="1"/>
  <c r="J30" i="34"/>
  <c r="H14" i="34"/>
  <c r="U14" i="34" s="1"/>
  <c r="F14" i="34"/>
  <c r="F45" i="33"/>
  <c r="S45" i="33" s="1"/>
  <c r="J45" i="33"/>
  <c r="H31" i="33"/>
  <c r="AB31" i="33" s="1"/>
  <c r="F29" i="33"/>
  <c r="H29" i="33"/>
  <c r="U29" i="33" s="1"/>
  <c r="F13" i="33"/>
  <c r="F45" i="21"/>
  <c r="S45" i="21" s="1"/>
  <c r="F31" i="21"/>
  <c r="J31" i="21"/>
  <c r="W31" i="21" s="1"/>
  <c r="J30" i="21"/>
  <c r="F30" i="21"/>
  <c r="AA30" i="21" s="1"/>
  <c r="J28" i="21"/>
  <c r="W28" i="21" s="1"/>
  <c r="F28" i="21"/>
  <c r="S28" i="21" s="1"/>
  <c r="H14" i="21"/>
  <c r="F14" i="21"/>
  <c r="AA14" i="21" s="1"/>
  <c r="AC38" i="34"/>
  <c r="AB42" i="34"/>
  <c r="S26" i="33"/>
  <c r="F27" i="34"/>
  <c r="S27" i="34" s="1"/>
  <c r="W32" i="40"/>
  <c r="U9" i="40"/>
  <c r="W33" i="33"/>
  <c r="U35" i="33"/>
  <c r="W22" i="35"/>
  <c r="U9" i="39"/>
  <c r="J45" i="39"/>
  <c r="AC45" i="39" s="1"/>
  <c r="F45" i="39"/>
  <c r="J12" i="35"/>
  <c r="AC12" i="35" s="1"/>
  <c r="H36" i="35"/>
  <c r="J36" i="35"/>
  <c r="W36" i="35" s="1"/>
  <c r="J23" i="36"/>
  <c r="H23" i="36"/>
  <c r="U23" i="36" s="1"/>
  <c r="F23" i="36"/>
  <c r="W31" i="35"/>
  <c r="AC31" i="35"/>
  <c r="G551" i="3"/>
  <c r="BL548" i="3"/>
  <c r="AZ404" i="3"/>
  <c r="AZ461" i="3"/>
  <c r="AZ463" i="3"/>
  <c r="AZ385" i="3"/>
  <c r="AZ270" i="3"/>
  <c r="AZ274" i="3"/>
  <c r="AZ277" i="3"/>
  <c r="AZ301" i="3"/>
  <c r="AZ122" i="3"/>
  <c r="AZ125" i="3"/>
  <c r="AZ452" i="3"/>
  <c r="AZ153" i="3"/>
  <c r="AZ169" i="3"/>
  <c r="AZ201" i="3"/>
  <c r="AZ25" i="3"/>
  <c r="AZ36" i="3"/>
  <c r="AZ49" i="3"/>
  <c r="AZ62" i="3"/>
  <c r="T64" i="71"/>
  <c r="D64" i="71"/>
  <c r="P66" i="71"/>
  <c r="P65" i="71"/>
  <c r="D35" i="71"/>
  <c r="C36" i="71"/>
  <c r="AZ73" i="3"/>
  <c r="AZ87" i="3"/>
  <c r="AZ95" i="3"/>
  <c r="U18" i="36"/>
  <c r="X9" i="71"/>
  <c r="X39" i="71"/>
  <c r="Y11" i="71"/>
  <c r="Z11" i="71" s="1"/>
  <c r="AB10" i="71"/>
  <c r="V28" i="71"/>
  <c r="AA28" i="71"/>
  <c r="AA26" i="71"/>
  <c r="Y28" i="71"/>
  <c r="Z28" i="71" s="1"/>
  <c r="Y27" i="71"/>
  <c r="Z27" i="71" s="1"/>
  <c r="Y26" i="71"/>
  <c r="Z26" i="71" s="1"/>
  <c r="Y25" i="71"/>
  <c r="Z25" i="71" s="1"/>
  <c r="X35" i="71"/>
  <c r="AA32" i="71"/>
  <c r="AA31" i="71"/>
  <c r="AB29" i="71"/>
  <c r="Y29" i="71"/>
  <c r="Z29" i="71" s="1"/>
  <c r="AA33" i="71"/>
  <c r="E30" i="71"/>
  <c r="E31" i="71" s="1"/>
  <c r="E32" i="71" s="1"/>
  <c r="U32" i="71" s="1"/>
  <c r="AA29" i="71"/>
  <c r="AB30" i="71"/>
  <c r="B38" i="71"/>
  <c r="B39" i="71" s="1"/>
  <c r="B40" i="71" s="1"/>
  <c r="S40" i="71" s="1"/>
  <c r="X37" i="71"/>
  <c r="AB9" i="71"/>
  <c r="AB39" i="71"/>
  <c r="X24" i="71"/>
  <c r="X14" i="71"/>
  <c r="Y17" i="71"/>
  <c r="Z17" i="71" s="1"/>
  <c r="AA12" i="71"/>
  <c r="AB18" i="71"/>
  <c r="M56" i="9"/>
  <c r="K56" i="9"/>
  <c r="Y24" i="71"/>
  <c r="Z24" i="71" s="1"/>
  <c r="AA24" i="71"/>
  <c r="AA22" i="71"/>
  <c r="AA23" i="71"/>
  <c r="X21" i="71"/>
  <c r="X22" i="71"/>
  <c r="Y21" i="71"/>
  <c r="Z21" i="71" s="1"/>
  <c r="Y22" i="71"/>
  <c r="Z22" i="71" s="1"/>
  <c r="AA21" i="71"/>
  <c r="AB21" i="71"/>
  <c r="X10" i="71"/>
  <c r="Y9" i="71"/>
  <c r="Z9" i="71" s="1"/>
  <c r="AA9" i="71"/>
  <c r="S68" i="71"/>
  <c r="B67" i="71"/>
  <c r="B66" i="71" s="1"/>
  <c r="N66" i="71" s="1"/>
  <c r="AB24" i="71"/>
  <c r="Y23" i="71"/>
  <c r="Z23" i="71" s="1"/>
  <c r="AB23" i="71"/>
  <c r="Y18" i="71"/>
  <c r="Z18" i="71" s="1"/>
  <c r="X18" i="71"/>
  <c r="AA18" i="71"/>
  <c r="Y12" i="71"/>
  <c r="Z12" i="71" s="1"/>
  <c r="Y13" i="71"/>
  <c r="Z13" i="71" s="1"/>
  <c r="AB15" i="71"/>
  <c r="AB14" i="71"/>
  <c r="AB11" i="71"/>
  <c r="AB12" i="71"/>
  <c r="X17" i="71"/>
  <c r="AA17" i="71"/>
  <c r="AB17" i="71"/>
  <c r="AA13" i="71"/>
  <c r="X13" i="71"/>
  <c r="AB13" i="71"/>
  <c r="Y10" i="71"/>
  <c r="Z10" i="71" s="1"/>
  <c r="Y14" i="71"/>
  <c r="Z14" i="71"/>
  <c r="X15" i="71"/>
  <c r="AA15" i="71"/>
  <c r="AA10" i="71"/>
  <c r="AA11" i="71"/>
  <c r="AA14" i="71"/>
  <c r="X12" i="71"/>
  <c r="X11" i="71"/>
  <c r="H83" i="43"/>
  <c r="S22" i="31"/>
  <c r="R22" i="3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12" i="37"/>
  <c r="AB9" i="37"/>
  <c r="U11" i="37"/>
  <c r="U12" i="37"/>
  <c r="AC8" i="37"/>
  <c r="AB37" i="34"/>
  <c r="S9" i="34"/>
  <c r="AC11" i="34"/>
  <c r="AB13" i="33"/>
  <c r="S8" i="33"/>
  <c r="U8" i="33"/>
  <c r="W8" i="21"/>
  <c r="S8" i="21"/>
  <c r="AA11" i="21"/>
  <c r="AC11" i="21"/>
  <c r="AB11" i="21"/>
  <c r="C5" i="11"/>
  <c r="C4" i="12"/>
  <c r="E14" i="6"/>
  <c r="E63" i="39" s="1"/>
  <c r="I4" i="6"/>
  <c r="G3" i="43"/>
  <c r="G30" i="6"/>
  <c r="G31" i="6" s="1"/>
  <c r="M6" i="1"/>
  <c r="O6" i="1"/>
  <c r="T13" i="1"/>
  <c r="C58" i="21"/>
  <c r="D58" i="21" s="1"/>
  <c r="E58" i="21" s="1"/>
  <c r="C58" i="33"/>
  <c r="C59" i="34"/>
  <c r="D59" i="34" s="1"/>
  <c r="E59" i="34" s="1"/>
  <c r="W10" i="36"/>
  <c r="U10" i="36"/>
  <c r="S10" i="36"/>
  <c r="AA10" i="35"/>
  <c r="W10" i="35"/>
  <c r="U10" i="37"/>
  <c r="S10" i="37"/>
  <c r="AC10" i="37"/>
  <c r="W10" i="34"/>
  <c r="U10" i="34"/>
  <c r="S10" i="34"/>
  <c r="AA10" i="33"/>
  <c r="AC10" i="33"/>
  <c r="AB10" i="33"/>
  <c r="U10" i="21"/>
  <c r="W10" i="21"/>
  <c r="AB27" i="36"/>
  <c r="S27" i="36"/>
  <c r="AC27" i="36"/>
  <c r="AC8" i="35"/>
  <c r="U8" i="35"/>
  <c r="H26" i="35"/>
  <c r="U26" i="35" s="1"/>
  <c r="F26" i="35"/>
  <c r="J26" i="35"/>
  <c r="W26" i="35" s="1"/>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AQ13" i="1"/>
  <c r="E8" i="6"/>
  <c r="E12" i="6"/>
  <c r="E57" i="40" s="1"/>
  <c r="E15" i="6"/>
  <c r="E11" i="6"/>
  <c r="E10" i="6"/>
  <c r="H16" i="1"/>
  <c r="P6" i="1"/>
  <c r="C13" i="12" s="1"/>
  <c r="P11" i="1"/>
  <c r="E59" i="40"/>
  <c r="AZ13" i="3"/>
  <c r="O9" i="1"/>
  <c r="P9" i="1"/>
  <c r="O12" i="1"/>
  <c r="P12" i="1"/>
  <c r="O8" i="1"/>
  <c r="P8" i="1"/>
  <c r="H73" i="43"/>
  <c r="H90" i="43"/>
  <c r="O23" i="43"/>
  <c r="I18" i="43"/>
  <c r="E17" i="43"/>
  <c r="C17" i="43"/>
  <c r="C24" i="43"/>
  <c r="H26" i="43"/>
  <c r="F26" i="43"/>
  <c r="J26" i="43"/>
  <c r="G26" i="43"/>
  <c r="E26" i="43"/>
  <c r="A1" i="79"/>
  <c r="H55" i="43"/>
  <c r="H86" i="43"/>
  <c r="H87" i="43"/>
  <c r="N370" i="46"/>
  <c r="N94" i="46"/>
  <c r="H89" i="43"/>
  <c r="H88" i="43"/>
  <c r="H84" i="43"/>
  <c r="D67" i="39"/>
  <c r="D69" i="39" s="1"/>
  <c r="T35" i="4"/>
  <c r="A19" i="51" s="1"/>
  <c r="B14" i="72" s="1"/>
  <c r="H110" i="9"/>
  <c r="D18" i="53" s="1"/>
  <c r="B35" i="72" s="1"/>
  <c r="H52" i="43"/>
  <c r="K5" i="4"/>
  <c r="B47" i="48"/>
  <c r="Y8" i="71"/>
  <c r="Z8" i="7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c r="D124" i="9"/>
  <c r="H74" i="43"/>
  <c r="H57" i="43"/>
  <c r="H66" i="43"/>
  <c r="H68" i="43"/>
  <c r="H80" i="43"/>
  <c r="H77" i="43"/>
  <c r="E44" i="43"/>
  <c r="C44" i="43" s="1"/>
  <c r="AC21" i="39"/>
  <c r="AB23" i="39"/>
  <c r="AB15" i="39"/>
  <c r="AC15" i="39"/>
  <c r="S25" i="39"/>
  <c r="W39" i="39"/>
  <c r="W42" i="39"/>
  <c r="W14" i="39"/>
  <c r="S29" i="39"/>
  <c r="G21" i="43"/>
  <c r="C20" i="43" s="1"/>
  <c r="E11" i="43"/>
  <c r="E9" i="43"/>
  <c r="E10" i="43"/>
  <c r="E8" i="43"/>
  <c r="G25" i="12"/>
  <c r="G27" i="12"/>
  <c r="E48" i="35"/>
  <c r="F48" i="35" s="1"/>
  <c r="D58" i="33"/>
  <c r="E58" i="33"/>
  <c r="B46" i="48"/>
  <c r="B4" i="72" s="1"/>
  <c r="B4" i="62"/>
  <c r="B71" i="72" s="1"/>
  <c r="D9" i="53"/>
  <c r="B25" i="72" s="1"/>
  <c r="B24" i="72"/>
  <c r="K120" i="9"/>
  <c r="Y16" i="71"/>
  <c r="Z16" i="71" s="1"/>
  <c r="Y15" i="71"/>
  <c r="Z15" i="71" s="1"/>
  <c r="AA16" i="71"/>
  <c r="AB3" i="71"/>
  <c r="B16" i="71"/>
  <c r="X16" i="71"/>
  <c r="AB16" i="71"/>
  <c r="Y3" i="71"/>
  <c r="Z3" i="71"/>
  <c r="AF3" i="71"/>
  <c r="P26" i="43"/>
  <c r="I54" i="67"/>
  <c r="D43" i="71"/>
  <c r="AA44" i="39"/>
  <c r="S44" i="39"/>
  <c r="AZ406" i="3"/>
  <c r="AZ522" i="3"/>
  <c r="AB12" i="36"/>
  <c r="AC36" i="21"/>
  <c r="W36" i="21"/>
  <c r="AZ562" i="3"/>
  <c r="AZ578" i="3"/>
  <c r="AB29" i="21"/>
  <c r="U29" i="21"/>
  <c r="AB12" i="21"/>
  <c r="U12" i="21"/>
  <c r="S13" i="21"/>
  <c r="AA13" i="21"/>
  <c r="AC13" i="21"/>
  <c r="F48" i="9"/>
  <c r="O52" i="9" s="1"/>
  <c r="F30" i="11"/>
  <c r="C48" i="11" s="1"/>
  <c r="M18" i="15"/>
  <c r="F30" i="68"/>
  <c r="C30" i="68" s="1"/>
  <c r="F32" i="67"/>
  <c r="F60" i="67" s="1"/>
  <c r="F32" i="15"/>
  <c r="F60" i="15" s="1"/>
  <c r="F28" i="15"/>
  <c r="C28" i="15" s="1"/>
  <c r="F54" i="9"/>
  <c r="B15" i="71"/>
  <c r="B14" i="71" s="1"/>
  <c r="B13" i="71" s="1"/>
  <c r="B12" i="71" s="1"/>
  <c r="S16" i="71"/>
  <c r="N67" i="71"/>
  <c r="T36" i="71"/>
  <c r="D36" i="71"/>
  <c r="AA23" i="36"/>
  <c r="S23" i="36"/>
  <c r="AC23" i="36"/>
  <c r="W23" i="36"/>
  <c r="AB36" i="35"/>
  <c r="U36" i="35"/>
  <c r="S45" i="39"/>
  <c r="AA45" i="39"/>
  <c r="U14" i="21"/>
  <c r="AB14" i="21"/>
  <c r="AC30" i="21"/>
  <c r="W30" i="21"/>
  <c r="S31" i="21"/>
  <c r="AA31" i="21"/>
  <c r="AA13" i="33"/>
  <c r="S13" i="33"/>
  <c r="S29" i="33"/>
  <c r="AA29" i="33"/>
  <c r="AC45" i="33"/>
  <c r="W45" i="33"/>
  <c r="AA14" i="34"/>
  <c r="S14" i="34"/>
  <c r="W30" i="34"/>
  <c r="AC30" i="34"/>
  <c r="AA46" i="34"/>
  <c r="S46" i="34"/>
  <c r="AC40" i="37"/>
  <c r="S25" i="36"/>
  <c r="S43" i="39"/>
  <c r="AC27" i="37"/>
  <c r="AB27" i="34"/>
  <c r="AA34" i="35"/>
  <c r="S34" i="35"/>
  <c r="AC34" i="35"/>
  <c r="W34" i="35"/>
  <c r="AZ548" i="3"/>
  <c r="AB23" i="36"/>
  <c r="AC36" i="35"/>
  <c r="W12" i="35"/>
  <c r="W45" i="39"/>
  <c r="AA27" i="34"/>
  <c r="S14" i="21"/>
  <c r="S30" i="21"/>
  <c r="AC31" i="21"/>
  <c r="AA45" i="21"/>
  <c r="AB29" i="33"/>
  <c r="U31" i="33"/>
  <c r="AA45" i="33"/>
  <c r="AB14" i="34"/>
  <c r="W32" i="34"/>
  <c r="AA40" i="37"/>
  <c r="S40" i="37"/>
  <c r="AB25" i="36"/>
  <c r="U25" i="36"/>
  <c r="AB43" i="39"/>
  <c r="U43" i="39"/>
  <c r="U34" i="35"/>
  <c r="E15" i="71"/>
  <c r="E14" i="71" s="1"/>
  <c r="E13" i="71"/>
  <c r="E12" i="71" s="1"/>
  <c r="V12" i="71" s="1"/>
  <c r="V16" i="71"/>
  <c r="C28" i="43"/>
  <c r="B116" i="43"/>
  <c r="Z7" i="43"/>
  <c r="E67" i="39"/>
  <c r="E69" i="39" s="1"/>
  <c r="AA26" i="35"/>
  <c r="S26" i="35"/>
  <c r="AC26" i="35"/>
  <c r="AB26" i="35"/>
  <c r="E61" i="39"/>
  <c r="E72" i="43"/>
  <c r="B70" i="43" s="1"/>
  <c r="E51" i="40"/>
  <c r="D10" i="52"/>
  <c r="D125" i="9"/>
  <c r="D11" i="52" s="1"/>
  <c r="B7" i="74"/>
  <c r="C7" i="74" s="1"/>
  <c r="P28" i="43"/>
  <c r="B66" i="40" s="1"/>
  <c r="P25" i="43"/>
  <c r="P29" i="43"/>
  <c r="P27" i="43"/>
  <c r="B70" i="39" s="1"/>
  <c r="C32" i="67"/>
  <c r="C32" i="15"/>
  <c r="AE11" i="1"/>
  <c r="AE9" i="1"/>
  <c r="AE7" i="1"/>
  <c r="AE8" i="1"/>
  <c r="AE12" i="1"/>
  <c r="AE10" i="1"/>
  <c r="T44" i="71"/>
  <c r="E11" i="71"/>
  <c r="E10" i="71" s="1"/>
  <c r="E9" i="71" s="1"/>
  <c r="E8" i="71" s="1"/>
  <c r="E7" i="71" s="1"/>
  <c r="E6" i="71" s="1"/>
  <c r="E5" i="71" s="1"/>
  <c r="N65" i="71"/>
  <c r="I121" i="43"/>
  <c r="J121" i="43" s="1"/>
  <c r="K121" i="43" s="1"/>
  <c r="L121" i="43" s="1"/>
  <c r="M121" i="43" s="1"/>
  <c r="G121" i="43"/>
  <c r="H121" i="43" s="1"/>
  <c r="B120" i="43"/>
  <c r="C120" i="43" s="1"/>
  <c r="D121" i="43"/>
  <c r="E121" i="43" s="1"/>
  <c r="F121" i="43" s="1"/>
  <c r="AG11" i="1"/>
  <c r="AG9" i="1"/>
  <c r="AG10" i="1"/>
  <c r="AG8" i="1"/>
  <c r="AG12" i="1"/>
  <c r="AG7" i="1"/>
  <c r="AG6" i="1"/>
  <c r="S8" i="1"/>
  <c r="T8" i="1" s="1"/>
  <c r="E8" i="70"/>
  <c r="O14" i="1"/>
  <c r="D3" i="21"/>
  <c r="M18" i="9"/>
  <c r="B118" i="9" s="1"/>
  <c r="F58" i="21"/>
  <c r="G48" i="35"/>
  <c r="H48" i="35" s="1"/>
  <c r="S11" i="1"/>
  <c r="AR11" i="1" s="1"/>
  <c r="E11" i="70"/>
  <c r="S9" i="1"/>
  <c r="AR9" i="1" s="1"/>
  <c r="AQ8" i="1"/>
  <c r="S7" i="1"/>
  <c r="AR7" i="1" s="1"/>
  <c r="E7" i="70"/>
  <c r="S10" i="1"/>
  <c r="T10" i="1" s="1"/>
  <c r="E10" i="70"/>
  <c r="S12" i="1"/>
  <c r="T12" i="1" s="1"/>
  <c r="B2" i="74"/>
  <c r="P14" i="1"/>
  <c r="G58" i="21"/>
  <c r="H58" i="21" s="1"/>
  <c r="C60" i="15"/>
  <c r="C60" i="67"/>
  <c r="R7" i="1"/>
  <c r="E12" i="70"/>
  <c r="F34" i="11"/>
  <c r="E9" i="70"/>
  <c r="AQ9" i="1"/>
  <c r="AQ11" i="1"/>
  <c r="AR12" i="1"/>
  <c r="AQ12" i="1"/>
  <c r="AR10" i="1"/>
  <c r="R11" i="1"/>
  <c r="R9" i="1"/>
  <c r="R10" i="1"/>
  <c r="R8" i="1"/>
  <c r="R12" i="1"/>
  <c r="C33" i="15"/>
  <c r="C33" i="67"/>
  <c r="C61" i="67"/>
  <c r="C34" i="67"/>
  <c r="C62" i="67"/>
  <c r="C62" i="15"/>
  <c r="C34" i="15"/>
  <c r="C61" i="15"/>
  <c r="L46" i="67"/>
  <c r="B2" i="33"/>
  <c r="B2" i="36"/>
  <c r="B3" i="36" s="1"/>
  <c r="B2" i="35"/>
  <c r="B3" i="35" s="1"/>
  <c r="B2" i="37"/>
  <c r="B2" i="34"/>
  <c r="B6" i="74"/>
  <c r="D6" i="74" s="1"/>
  <c r="M9" i="67"/>
  <c r="E2" i="68"/>
  <c r="M28" i="67"/>
  <c r="E10" i="76"/>
  <c r="M6" i="15"/>
  <c r="F41" i="15"/>
  <c r="AO11" i="1"/>
  <c r="F42" i="67"/>
  <c r="D4" i="73"/>
  <c r="F36" i="15"/>
  <c r="D2" i="21"/>
  <c r="D34" i="9"/>
  <c r="F6" i="67"/>
  <c r="M27" i="67"/>
  <c r="F26" i="67"/>
  <c r="B11" i="76"/>
  <c r="F42" i="15"/>
  <c r="F6" i="15"/>
  <c r="F36" i="67"/>
  <c r="F38" i="15"/>
  <c r="F8" i="15"/>
  <c r="M22" i="15"/>
  <c r="L47" i="67"/>
  <c r="F6" i="73"/>
  <c r="F7" i="73"/>
  <c r="M8" i="15"/>
  <c r="C76" i="67"/>
  <c r="B10" i="76"/>
  <c r="F35" i="15"/>
  <c r="F43" i="67"/>
  <c r="D5" i="73"/>
  <c r="M21" i="15"/>
  <c r="B12" i="76"/>
  <c r="AO10" i="1"/>
  <c r="F9" i="15"/>
  <c r="M29" i="67"/>
  <c r="D35" i="9"/>
  <c r="M24" i="67"/>
  <c r="F13" i="67"/>
  <c r="F16" i="67"/>
  <c r="F8" i="67"/>
  <c r="L48" i="15"/>
  <c r="M26" i="67"/>
  <c r="M6" i="67"/>
  <c r="M29" i="15"/>
  <c r="E13" i="76"/>
  <c r="F43" i="15"/>
  <c r="F3" i="73"/>
  <c r="B8" i="76"/>
  <c r="F7" i="15"/>
  <c r="D7" i="73"/>
  <c r="F37" i="67"/>
  <c r="D3" i="73"/>
  <c r="F4" i="73"/>
  <c r="E9" i="76"/>
  <c r="AO12" i="1"/>
  <c r="F40" i="67"/>
  <c r="F9" i="67"/>
  <c r="AO8" i="1"/>
  <c r="AO9" i="1"/>
  <c r="B13" i="76"/>
  <c r="M22" i="67"/>
  <c r="M23" i="15"/>
  <c r="J15" i="15"/>
  <c r="M9" i="15"/>
  <c r="F5" i="73"/>
  <c r="D2" i="37"/>
  <c r="F7" i="67"/>
  <c r="AO7" i="1"/>
  <c r="E7" i="76"/>
  <c r="E11" i="76"/>
  <c r="M28" i="15"/>
  <c r="F40" i="15"/>
  <c r="J15" i="67"/>
  <c r="M23" i="67"/>
  <c r="E2" i="69"/>
  <c r="M26" i="15"/>
  <c r="F26" i="15"/>
  <c r="L47" i="15"/>
  <c r="D2" i="34"/>
  <c r="C76" i="15"/>
  <c r="D6" i="73"/>
  <c r="M27" i="15"/>
  <c r="D2" i="35"/>
  <c r="F13" i="15"/>
  <c r="E12" i="76"/>
  <c r="M8" i="67"/>
  <c r="F38" i="67"/>
  <c r="B9" i="76"/>
  <c r="B7" i="76"/>
  <c r="E8" i="76"/>
  <c r="F16" i="15"/>
  <c r="AO13" i="1"/>
  <c r="M24" i="15"/>
  <c r="D2" i="33"/>
  <c r="F37" i="15"/>
  <c r="L48" i="67"/>
  <c r="F20" i="31"/>
  <c r="D2" i="36"/>
  <c r="C21" i="68" l="1"/>
  <c r="D5" i="43"/>
  <c r="C5" i="43"/>
  <c r="E28" i="6"/>
  <c r="F30" i="6"/>
  <c r="S12" i="71"/>
  <c r="B11" i="71"/>
  <c r="B10" i="71" s="1"/>
  <c r="B9" i="71" s="1"/>
  <c r="B8" i="71" s="1"/>
  <c r="B7" i="71" s="1"/>
  <c r="B6" i="71" s="1"/>
  <c r="B5" i="71" s="1"/>
  <c r="D7" i="74"/>
  <c r="AQ7" i="1"/>
  <c r="AQ10" i="1"/>
  <c r="D8" i="74"/>
  <c r="AR8" i="1"/>
  <c r="C48" i="68"/>
  <c r="C7" i="43"/>
  <c r="D22" i="71"/>
  <c r="C21" i="71"/>
  <c r="C20" i="71" s="1"/>
  <c r="AB30" i="21"/>
  <c r="U30" i="21"/>
  <c r="G106" i="21"/>
  <c r="H106" i="21" s="1"/>
  <c r="I106" i="21" s="1"/>
  <c r="J106" i="21" s="1"/>
  <c r="K106" i="21" s="1"/>
  <c r="L106" i="21" s="1"/>
  <c r="M106" i="21" s="1"/>
  <c r="H34" i="21"/>
  <c r="J34" i="21"/>
  <c r="F34" i="21"/>
  <c r="AA34" i="21" s="1"/>
  <c r="O16" i="1"/>
  <c r="E29" i="6"/>
  <c r="U23" i="21"/>
  <c r="AB23" i="21"/>
  <c r="H36" i="21"/>
  <c r="G110" i="21"/>
  <c r="H110" i="21" s="1"/>
  <c r="I110" i="21" s="1"/>
  <c r="J110" i="21" s="1"/>
  <c r="K110" i="21" s="1"/>
  <c r="L110" i="21" s="1"/>
  <c r="M110" i="21" s="1"/>
  <c r="F36" i="21"/>
  <c r="AZ208" i="3"/>
  <c r="AZ477" i="3"/>
  <c r="AZ443" i="3"/>
  <c r="AZ550" i="3"/>
  <c r="AZ560" i="3"/>
  <c r="AZ576" i="3"/>
  <c r="AZ366" i="3"/>
  <c r="AC5" i="3"/>
  <c r="AZ545" i="3"/>
  <c r="H12" i="35"/>
  <c r="F12" i="35"/>
  <c r="U28" i="34"/>
  <c r="AB41" i="34"/>
  <c r="U44" i="34"/>
  <c r="AB17" i="37"/>
  <c r="S37" i="37"/>
  <c r="S14" i="36"/>
  <c r="AB20" i="36"/>
  <c r="AA26" i="36"/>
  <c r="S15" i="39"/>
  <c r="AB19" i="40"/>
  <c r="AA19" i="40"/>
  <c r="AB27" i="40"/>
  <c r="AA12" i="40"/>
  <c r="AZ377" i="3"/>
  <c r="AZ347" i="3"/>
  <c r="AZ337" i="3"/>
  <c r="AZ313" i="3"/>
  <c r="AZ305" i="3"/>
  <c r="AZ360" i="3"/>
  <c r="AZ343" i="3"/>
  <c r="S11" i="39"/>
  <c r="U43" i="33"/>
  <c r="AZ539" i="3"/>
  <c r="AZ495" i="3"/>
  <c r="W31" i="34"/>
  <c r="AA44" i="33"/>
  <c r="AZ426" i="3"/>
  <c r="AZ455" i="3"/>
  <c r="BL363" i="3"/>
  <c r="AZ363" i="3" s="1"/>
  <c r="BA366" i="3"/>
  <c r="BA368" i="3"/>
  <c r="AZ368" i="3" s="1"/>
  <c r="G374" i="3"/>
  <c r="G382" i="3"/>
  <c r="BL386" i="3"/>
  <c r="AZ386" i="3" s="1"/>
  <c r="G392" i="3"/>
  <c r="BL393" i="3"/>
  <c r="AZ393" i="3" s="1"/>
  <c r="BA396" i="3"/>
  <c r="AZ396" i="3" s="1"/>
  <c r="BL208" i="3"/>
  <c r="BA210" i="3"/>
  <c r="AZ210" i="3" s="1"/>
  <c r="BA212" i="3"/>
  <c r="AZ212" i="3" s="1"/>
  <c r="G215" i="3"/>
  <c r="G216" i="3"/>
  <c r="BL216" i="3"/>
  <c r="BL218" i="3"/>
  <c r="AZ218" i="3" s="1"/>
  <c r="BA219" i="3"/>
  <c r="AZ219" i="3" s="1"/>
  <c r="BL221" i="3"/>
  <c r="AZ221" i="3" s="1"/>
  <c r="BL223" i="3"/>
  <c r="AZ223" i="3" s="1"/>
  <c r="BA225" i="3"/>
  <c r="AZ225" i="3" s="1"/>
  <c r="BA227" i="3"/>
  <c r="AZ227" i="3" s="1"/>
  <c r="BA229" i="3"/>
  <c r="AZ229" i="3" s="1"/>
  <c r="BA231" i="3"/>
  <c r="AZ231" i="3" s="1"/>
  <c r="G234" i="3"/>
  <c r="G235" i="3"/>
  <c r="G237" i="3"/>
  <c r="J25" i="37"/>
  <c r="F26" i="37"/>
  <c r="AB14" i="37"/>
  <c r="H38" i="40"/>
  <c r="J40" i="40"/>
  <c r="G578" i="3"/>
  <c r="G570" i="3"/>
  <c r="G562" i="3"/>
  <c r="G556" i="3"/>
  <c r="G526" i="3"/>
  <c r="BA398" i="3"/>
  <c r="AZ398" i="3" s="1"/>
  <c r="BL400" i="3"/>
  <c r="AZ400" i="3" s="1"/>
  <c r="G403" i="3"/>
  <c r="BL403" i="3"/>
  <c r="AZ403" i="3" s="1"/>
  <c r="G406" i="3"/>
  <c r="BL407" i="3"/>
  <c r="AZ407" i="3" s="1"/>
  <c r="BA409" i="3"/>
  <c r="AZ409" i="3" s="1"/>
  <c r="BA411" i="3"/>
  <c r="AZ411" i="3" s="1"/>
  <c r="G415" i="3"/>
  <c r="BL416" i="3"/>
  <c r="AZ416" i="3" s="1"/>
  <c r="G422" i="3"/>
  <c r="BL422" i="3"/>
  <c r="AZ422" i="3" s="1"/>
  <c r="G425" i="3"/>
  <c r="G426" i="3"/>
  <c r="BL426" i="3"/>
  <c r="BL428" i="3"/>
  <c r="AZ428" i="3" s="1"/>
  <c r="BA429" i="3"/>
  <c r="AZ429" i="3" s="1"/>
  <c r="BL431" i="3"/>
  <c r="AZ431" i="3" s="1"/>
  <c r="G436" i="3"/>
  <c r="BL436" i="3"/>
  <c r="AZ436" i="3" s="1"/>
  <c r="G439" i="3"/>
  <c r="BL439" i="3"/>
  <c r="AZ439" i="3" s="1"/>
  <c r="BL441" i="3"/>
  <c r="AZ441" i="3" s="1"/>
  <c r="G447" i="3"/>
  <c r="BL448" i="3"/>
  <c r="AZ448" i="3" s="1"/>
  <c r="G451" i="3"/>
  <c r="BL451" i="3"/>
  <c r="AZ451" i="3" s="1"/>
  <c r="G455" i="3"/>
  <c r="BL455" i="3"/>
  <c r="BL457" i="3"/>
  <c r="AZ457" i="3" s="1"/>
  <c r="G461" i="3"/>
  <c r="G462" i="3"/>
  <c r="G463" i="3"/>
  <c r="G464" i="3"/>
  <c r="BL464" i="3"/>
  <c r="AZ464" i="3" s="1"/>
  <c r="G467" i="3"/>
  <c r="BL468" i="3"/>
  <c r="AZ468" i="3" s="1"/>
  <c r="BL470" i="3"/>
  <c r="AZ470" i="3" s="1"/>
  <c r="BA471" i="3"/>
  <c r="AZ471" i="3" s="1"/>
  <c r="BA473" i="3"/>
  <c r="AZ473" i="3" s="1"/>
  <c r="BA475" i="3"/>
  <c r="AZ475" i="3" s="1"/>
  <c r="G478" i="3"/>
  <c r="BL479" i="3"/>
  <c r="AZ479" i="3" s="1"/>
  <c r="BA480" i="3"/>
  <c r="AZ480" i="3" s="1"/>
  <c r="BA481" i="3"/>
  <c r="AZ481" i="3" s="1"/>
  <c r="BA483" i="3"/>
  <c r="AZ483" i="3" s="1"/>
  <c r="BA485" i="3"/>
  <c r="AZ485" i="3" s="1"/>
  <c r="G490" i="3"/>
  <c r="G491" i="3"/>
  <c r="G311" i="3"/>
  <c r="BA316" i="3"/>
  <c r="AZ316" i="3" s="1"/>
  <c r="BA319" i="3"/>
  <c r="AZ319" i="3" s="1"/>
  <c r="BA323" i="3"/>
  <c r="AZ323" i="3" s="1"/>
  <c r="BL328" i="3"/>
  <c r="AZ328" i="3" s="1"/>
  <c r="BL333" i="3"/>
  <c r="AZ333" i="3" s="1"/>
  <c r="G347" i="3"/>
  <c r="BA349" i="3"/>
  <c r="AZ349" i="3" s="1"/>
  <c r="BA352" i="3"/>
  <c r="AZ352" i="3" s="1"/>
  <c r="BA354" i="3"/>
  <c r="AZ354" i="3" s="1"/>
  <c r="BA239" i="3"/>
  <c r="AZ239" i="3" s="1"/>
  <c r="BA240" i="3"/>
  <c r="AZ240" i="3" s="1"/>
  <c r="BL243" i="3"/>
  <c r="AZ243" i="3" s="1"/>
  <c r="BL245" i="3"/>
  <c r="AZ245" i="3" s="1"/>
  <c r="BA246" i="3"/>
  <c r="AZ246" i="3" s="1"/>
  <c r="BA248" i="3"/>
  <c r="AZ248" i="3" s="1"/>
  <c r="BA249" i="3"/>
  <c r="AZ249" i="3" s="1"/>
  <c r="G252" i="3"/>
  <c r="G254" i="3"/>
  <c r="BL255" i="3"/>
  <c r="AZ255" i="3" s="1"/>
  <c r="BA257" i="3"/>
  <c r="AZ257" i="3" s="1"/>
  <c r="BA259" i="3"/>
  <c r="AZ259" i="3" s="1"/>
  <c r="BL260" i="3"/>
  <c r="AZ260" i="3" s="1"/>
  <c r="BA262" i="3"/>
  <c r="AZ262" i="3" s="1"/>
  <c r="BA263" i="3"/>
  <c r="AZ263" i="3" s="1"/>
  <c r="BL265" i="3"/>
  <c r="AZ265" i="3" s="1"/>
  <c r="BL267" i="3"/>
  <c r="AZ267" i="3" s="1"/>
  <c r="BL269" i="3"/>
  <c r="AZ269" i="3" s="1"/>
  <c r="G272" i="3"/>
  <c r="G274" i="3"/>
  <c r="G275" i="3"/>
  <c r="G277" i="3"/>
  <c r="G278" i="3"/>
  <c r="BL278" i="3"/>
  <c r="AZ278" i="3" s="1"/>
  <c r="BL280" i="3"/>
  <c r="AZ280" i="3" s="1"/>
  <c r="G283" i="3"/>
  <c r="G284" i="3"/>
  <c r="BL284" i="3"/>
  <c r="AZ284" i="3" s="1"/>
  <c r="BL286" i="3"/>
  <c r="AZ286" i="3" s="1"/>
  <c r="BA288" i="3"/>
  <c r="AZ288" i="3" s="1"/>
  <c r="G291" i="3"/>
  <c r="G292" i="3"/>
  <c r="BL292" i="3"/>
  <c r="AZ292" i="3" s="1"/>
  <c r="G295" i="3"/>
  <c r="G297" i="3"/>
  <c r="BL298" i="3"/>
  <c r="AZ298" i="3" s="1"/>
  <c r="BL300" i="3"/>
  <c r="AZ300" i="3" s="1"/>
  <c r="BL114" i="3"/>
  <c r="AZ114" i="3" s="1"/>
  <c r="G118" i="3"/>
  <c r="G122" i="3"/>
  <c r="G123" i="3"/>
  <c r="BA124" i="3"/>
  <c r="AZ124" i="3" s="1"/>
  <c r="G126" i="3"/>
  <c r="G128" i="3"/>
  <c r="BA130" i="3"/>
  <c r="AZ130" i="3" s="1"/>
  <c r="D59" i="71"/>
  <c r="C60" i="71"/>
  <c r="BA132" i="3"/>
  <c r="AZ132" i="3" s="1"/>
  <c r="G134" i="3"/>
  <c r="G139" i="3"/>
  <c r="BL142" i="3"/>
  <c r="AZ142" i="3" s="1"/>
  <c r="BL146" i="3"/>
  <c r="AZ146" i="3" s="1"/>
  <c r="G150" i="3"/>
  <c r="G151" i="3"/>
  <c r="BA152" i="3"/>
  <c r="AZ152" i="3" s="1"/>
  <c r="G154" i="3"/>
  <c r="G155" i="3"/>
  <c r="BA156" i="3"/>
  <c r="AZ156" i="3" s="1"/>
  <c r="G159" i="3"/>
  <c r="BA160" i="3"/>
  <c r="AZ160" i="3" s="1"/>
  <c r="G163" i="3"/>
  <c r="BA164" i="3"/>
  <c r="AZ164" i="3" s="1"/>
  <c r="G166" i="3"/>
  <c r="G168" i="3"/>
  <c r="BA170" i="3"/>
  <c r="AZ170" i="3" s="1"/>
  <c r="BL171" i="3"/>
  <c r="AZ171" i="3" s="1"/>
  <c r="G175" i="3"/>
  <c r="BA176" i="3"/>
  <c r="AZ176" i="3" s="1"/>
  <c r="G179" i="3"/>
  <c r="BA180" i="3"/>
  <c r="AZ180" i="3" s="1"/>
  <c r="G182" i="3"/>
  <c r="G183" i="3"/>
  <c r="BA185" i="3"/>
  <c r="AZ185" i="3" s="1"/>
  <c r="G190" i="3"/>
  <c r="BL193" i="3"/>
  <c r="AZ193" i="3" s="1"/>
  <c r="G196" i="3"/>
  <c r="BA197" i="3"/>
  <c r="AZ197" i="3" s="1"/>
  <c r="BA198" i="3"/>
  <c r="AZ198" i="3" s="1"/>
  <c r="G202" i="3"/>
  <c r="G203" i="3"/>
  <c r="BA204" i="3"/>
  <c r="AZ204" i="3" s="1"/>
  <c r="BA205" i="3"/>
  <c r="AZ205" i="3" s="1"/>
  <c r="BA207" i="3"/>
  <c r="AZ207" i="3" s="1"/>
  <c r="BL19" i="3"/>
  <c r="AZ19" i="3" s="1"/>
  <c r="BL21" i="3"/>
  <c r="AZ21" i="3" s="1"/>
  <c r="BA22" i="3"/>
  <c r="BA24" i="3"/>
  <c r="AZ24" i="3" s="1"/>
  <c r="BA26" i="3"/>
  <c r="AZ26" i="3" s="1"/>
  <c r="BA28" i="3"/>
  <c r="AZ28" i="3" s="1"/>
  <c r="BA30" i="3"/>
  <c r="AZ30" i="3" s="1"/>
  <c r="G33" i="3"/>
  <c r="G5" i="3" s="1"/>
  <c r="B3" i="3" s="1"/>
  <c r="G34" i="3"/>
  <c r="BL34" i="3"/>
  <c r="G37" i="3"/>
  <c r="G38" i="3"/>
  <c r="BL38" i="3"/>
  <c r="G41" i="3"/>
  <c r="G42" i="3"/>
  <c r="BL43" i="3"/>
  <c r="AZ43" i="3" s="1"/>
  <c r="BA44" i="3"/>
  <c r="AZ44" i="3" s="1"/>
  <c r="BA46" i="3"/>
  <c r="AZ46" i="3" s="1"/>
  <c r="G50" i="3"/>
  <c r="G51" i="3"/>
  <c r="G53" i="3"/>
  <c r="G55" i="3"/>
  <c r="G57" i="3"/>
  <c r="BL57" i="3"/>
  <c r="BA59" i="3"/>
  <c r="AZ59" i="3" s="1"/>
  <c r="BA61" i="3"/>
  <c r="AZ61" i="3" s="1"/>
  <c r="BA63" i="3"/>
  <c r="AZ63" i="3" s="1"/>
  <c r="BA65" i="3"/>
  <c r="AZ65" i="3" s="1"/>
  <c r="BL67" i="3"/>
  <c r="AZ67" i="3" s="1"/>
  <c r="BA68" i="3"/>
  <c r="AZ68" i="3" s="1"/>
  <c r="BA69" i="3"/>
  <c r="AZ69" i="3" s="1"/>
  <c r="BA70" i="3"/>
  <c r="AZ70" i="3" s="1"/>
  <c r="BA72" i="3"/>
  <c r="AZ72" i="3" s="1"/>
  <c r="BA74" i="3"/>
  <c r="AZ74" i="3" s="1"/>
  <c r="BA75" i="3"/>
  <c r="AZ75" i="3" s="1"/>
  <c r="BA76" i="3"/>
  <c r="AZ76" i="3" s="1"/>
  <c r="BA78" i="3"/>
  <c r="AZ78" i="3" s="1"/>
  <c r="G81" i="3"/>
  <c r="BL81" i="3"/>
  <c r="AZ81" i="3" s="1"/>
  <c r="BL83" i="3"/>
  <c r="AZ83" i="3" s="1"/>
  <c r="BL85" i="3"/>
  <c r="AZ85" i="3" s="1"/>
  <c r="G88" i="3"/>
  <c r="G89" i="3"/>
  <c r="G92" i="3"/>
  <c r="BL92" i="3"/>
  <c r="AZ92" i="3" s="1"/>
  <c r="BL94" i="3"/>
  <c r="AZ94" i="3" s="1"/>
  <c r="G97" i="3"/>
  <c r="G99" i="3"/>
  <c r="BL99" i="3"/>
  <c r="BL101" i="3"/>
  <c r="AZ101" i="3" s="1"/>
  <c r="BL103" i="3"/>
  <c r="AZ103" i="3" s="1"/>
  <c r="BA104" i="3"/>
  <c r="AZ104" i="3" s="1"/>
  <c r="BA105" i="3"/>
  <c r="AZ105" i="3" s="1"/>
  <c r="BA106" i="3"/>
  <c r="AZ106" i="3" s="1"/>
  <c r="BA108" i="3"/>
  <c r="AZ108" i="3" s="1"/>
  <c r="G111" i="3"/>
  <c r="G112" i="3"/>
  <c r="BL112" i="3"/>
  <c r="AZ112" i="3" s="1"/>
  <c r="D39" i="71"/>
  <c r="C40" i="71"/>
  <c r="T40" i="71" s="1"/>
  <c r="C27" i="71"/>
  <c r="T28" i="71"/>
  <c r="D28" i="71"/>
  <c r="U28" i="71" s="1"/>
  <c r="C15" i="78"/>
  <c r="C18" i="78"/>
  <c r="S18" i="36"/>
  <c r="C29" i="39"/>
  <c r="B77" i="43"/>
  <c r="D79" i="71"/>
  <c r="D67" i="71"/>
  <c r="AB27" i="71"/>
  <c r="D58" i="71"/>
  <c r="AB33" i="71"/>
  <c r="X25" i="71"/>
  <c r="X30" i="71"/>
  <c r="AB35" i="71"/>
  <c r="F39" i="71"/>
  <c r="F40" i="71" s="1"/>
  <c r="V40" i="71" s="1"/>
  <c r="B55" i="71"/>
  <c r="B56" i="71" s="1"/>
  <c r="S56" i="71" s="1"/>
  <c r="V24" i="71"/>
  <c r="B47" i="71"/>
  <c r="B48" i="71" s="1"/>
  <c r="S48" i="71" s="1"/>
  <c r="E55" i="71"/>
  <c r="E56" i="71" s="1"/>
  <c r="U56" i="71" s="1"/>
  <c r="F23" i="71"/>
  <c r="F22" i="71" s="1"/>
  <c r="F21" i="71" s="1"/>
  <c r="F20" i="71" s="1"/>
  <c r="F19" i="71" s="1"/>
  <c r="F18" i="71" s="1"/>
  <c r="F17" i="71" s="1"/>
  <c r="F16" i="71" s="1"/>
  <c r="F15" i="71" s="1"/>
  <c r="F14" i="71" s="1"/>
  <c r="F13" i="71" s="1"/>
  <c r="F12" i="71" s="1"/>
  <c r="F11" i="71" s="1"/>
  <c r="F10" i="71" s="1"/>
  <c r="F9" i="71" s="1"/>
  <c r="F8" i="71" s="1"/>
  <c r="F7" i="71" s="1"/>
  <c r="F6" i="71" s="1"/>
  <c r="F5" i="71" s="1"/>
  <c r="H99" i="43"/>
  <c r="H93" i="43"/>
  <c r="H94" i="43"/>
  <c r="F41" i="43"/>
  <c r="F39" i="43"/>
  <c r="F37" i="43"/>
  <c r="S3" i="43"/>
  <c r="S2" i="43"/>
  <c r="S5" i="43"/>
  <c r="S25" i="79"/>
  <c r="S29" i="79"/>
  <c r="U25" i="79"/>
  <c r="S26" i="79"/>
  <c r="R12" i="79"/>
  <c r="U6" i="79"/>
  <c r="U9" i="79"/>
  <c r="Y3" i="79"/>
  <c r="AD29" i="79"/>
  <c r="T29" i="79"/>
  <c r="W29" i="79" s="1"/>
  <c r="S32" i="79"/>
  <c r="AD33" i="79"/>
  <c r="C5" i="78"/>
  <c r="D5" i="78" s="1"/>
  <c r="U29" i="79"/>
  <c r="AA23" i="79"/>
  <c r="AD23" i="79" s="1"/>
  <c r="AD31" i="79"/>
  <c r="U27" i="79"/>
  <c r="C36" i="69"/>
  <c r="C36" i="11"/>
  <c r="P16" i="1"/>
  <c r="C11" i="12" s="1"/>
  <c r="C12" i="12" s="1"/>
  <c r="S44" i="21"/>
  <c r="W44" i="21"/>
  <c r="W42" i="21"/>
  <c r="AB42" i="21"/>
  <c r="S34" i="21"/>
  <c r="AC28" i="21"/>
  <c r="AA28" i="21"/>
  <c r="U28" i="21"/>
  <c r="E54" i="21"/>
  <c r="F54" i="21" s="1"/>
  <c r="T47" i="21"/>
  <c r="G54" i="21"/>
  <c r="H54" i="21" s="1"/>
  <c r="F11" i="12"/>
  <c r="C23" i="12" s="1"/>
  <c r="G41" i="68"/>
  <c r="G41" i="11"/>
  <c r="D23" i="67"/>
  <c r="D22" i="67"/>
  <c r="G22" i="11"/>
  <c r="G22" i="68"/>
  <c r="E1" i="73"/>
  <c r="K1" i="73" s="1"/>
  <c r="D9" i="68"/>
  <c r="C9" i="68" s="1"/>
  <c r="D19" i="12"/>
  <c r="C19" i="12" s="1"/>
  <c r="D9" i="11"/>
  <c r="C9" i="11" s="1"/>
  <c r="D9" i="69"/>
  <c r="C9" i="69" s="1"/>
  <c r="T11" i="1"/>
  <c r="T9" i="1"/>
  <c r="D26" i="43"/>
  <c r="C25" i="43" s="1"/>
  <c r="E13" i="6"/>
  <c r="D63" i="40"/>
  <c r="C65" i="40"/>
  <c r="F67" i="39"/>
  <c r="C36" i="68"/>
  <c r="C6" i="78"/>
  <c r="D6" i="78" s="1"/>
  <c r="U33" i="21"/>
  <c r="S33" i="21"/>
  <c r="B11" i="70"/>
  <c r="B7" i="70"/>
  <c r="B12" i="70"/>
  <c r="B10" i="70"/>
  <c r="B8" i="70"/>
  <c r="B9" i="70"/>
  <c r="J20" i="15"/>
  <c r="F63" i="15"/>
  <c r="F69" i="15"/>
  <c r="M7" i="67"/>
  <c r="J6" i="67" s="1"/>
  <c r="F50" i="67"/>
  <c r="J57" i="67"/>
  <c r="J55" i="67" s="1"/>
  <c r="J58" i="67" s="1"/>
  <c r="Q50" i="67" s="1"/>
  <c r="L56" i="67"/>
  <c r="J59" i="67"/>
  <c r="J60" i="67"/>
  <c r="Q48" i="67" s="1"/>
  <c r="L60" i="67"/>
  <c r="F68" i="67"/>
  <c r="L59" i="15"/>
  <c r="L58" i="15"/>
  <c r="N59" i="15"/>
  <c r="M59" i="15"/>
  <c r="C6" i="15"/>
  <c r="F31" i="15"/>
  <c r="M17" i="67"/>
  <c r="B13" i="70"/>
  <c r="F65" i="15"/>
  <c r="F31" i="67"/>
  <c r="C6" i="67"/>
  <c r="F51" i="67"/>
  <c r="I1" i="73"/>
  <c r="B39" i="1" s="1"/>
  <c r="Q71" i="15"/>
  <c r="F64" i="15"/>
  <c r="F65" i="67"/>
  <c r="F66" i="15"/>
  <c r="C27" i="15"/>
  <c r="L59" i="67"/>
  <c r="M59" i="67"/>
  <c r="L58" i="67"/>
  <c r="N59" i="67"/>
  <c r="M7" i="15"/>
  <c r="J6" i="15" s="1"/>
  <c r="F50" i="15"/>
  <c r="F68" i="15"/>
  <c r="F71" i="67"/>
  <c r="Q71" i="67"/>
  <c r="F71" i="15"/>
  <c r="C27" i="67"/>
  <c r="F51" i="15"/>
  <c r="B20" i="31"/>
  <c r="B21" i="31" s="1"/>
  <c r="F66" i="67"/>
  <c r="F64" i="67"/>
  <c r="J53" i="15"/>
  <c r="L56" i="15" s="1"/>
  <c r="J57" i="15"/>
  <c r="J55" i="15" s="1"/>
  <c r="J58" i="15" s="1"/>
  <c r="Q50" i="15" s="1"/>
  <c r="I54" i="15"/>
  <c r="F59" i="34"/>
  <c r="G59" i="34" s="1"/>
  <c r="H59" i="34" s="1"/>
  <c r="I59" i="34" s="1"/>
  <c r="J59" i="34" s="1"/>
  <c r="K59" i="34" s="1"/>
  <c r="L59" i="34" s="1"/>
  <c r="M59" i="34" s="1"/>
  <c r="N59" i="34" s="1"/>
  <c r="O59" i="34" s="1"/>
  <c r="I48" i="35"/>
  <c r="J48" i="35" s="1"/>
  <c r="K48" i="35" s="1"/>
  <c r="L48" i="35" s="1"/>
  <c r="M48" i="35" s="1"/>
  <c r="N48" i="35" s="1"/>
  <c r="O48" i="35" s="1"/>
  <c r="I58" i="21"/>
  <c r="J58" i="21" s="1"/>
  <c r="K58" i="21" s="1"/>
  <c r="L58" i="21" s="1"/>
  <c r="M58" i="21" s="1"/>
  <c r="N58" i="21" s="1"/>
  <c r="O58" i="21" s="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F7" i="21"/>
  <c r="T7" i="1"/>
  <c r="D118" i="43"/>
  <c r="E118" i="43" s="1"/>
  <c r="F118" i="43" s="1"/>
  <c r="G118" i="43" s="1"/>
  <c r="H118" i="43" s="1"/>
  <c r="I119" i="43"/>
  <c r="J119" i="43" s="1"/>
  <c r="K119" i="43" s="1"/>
  <c r="L119" i="43" s="1"/>
  <c r="M119" i="43" s="1"/>
  <c r="I120" i="43"/>
  <c r="J120" i="43" s="1"/>
  <c r="K120" i="43" s="1"/>
  <c r="L120" i="43" s="1"/>
  <c r="M120" i="43" s="1"/>
  <c r="B119" i="43"/>
  <c r="C119" i="43" s="1"/>
  <c r="C30" i="11"/>
  <c r="F48" i="68"/>
  <c r="E64" i="39"/>
  <c r="E60" i="40"/>
  <c r="F27" i="6"/>
  <c r="F31" i="6" s="1"/>
  <c r="E56" i="39"/>
  <c r="E16" i="6"/>
  <c r="J53" i="67"/>
  <c r="C19" i="71"/>
  <c r="T20" i="71"/>
  <c r="D20" i="71"/>
  <c r="F46" i="36"/>
  <c r="AZ503" i="3"/>
  <c r="BL5" i="3"/>
  <c r="F58" i="33"/>
  <c r="E60" i="39"/>
  <c r="E56" i="40"/>
  <c r="E61" i="43"/>
  <c r="B59" i="43" s="1"/>
  <c r="K14" i="1"/>
  <c r="E52" i="37"/>
  <c r="F52" i="9"/>
  <c r="F28" i="67"/>
  <c r="C28" i="67" s="1"/>
  <c r="D68" i="9"/>
  <c r="F30" i="69"/>
  <c r="M18" i="67"/>
  <c r="F31" i="12"/>
  <c r="C31" i="12" s="1"/>
  <c r="G16" i="1"/>
  <c r="Q16" i="1"/>
  <c r="S10" i="21"/>
  <c r="AA9" i="37"/>
  <c r="D19" i="53"/>
  <c r="AA32" i="21"/>
  <c r="AC9" i="21"/>
  <c r="AB41" i="21"/>
  <c r="AA23" i="33"/>
  <c r="D21" i="71"/>
  <c r="AZ587" i="3"/>
  <c r="AZ544" i="3"/>
  <c r="AZ554" i="3"/>
  <c r="AZ568" i="3"/>
  <c r="AA14" i="33"/>
  <c r="S14" i="37"/>
  <c r="AA14" i="37"/>
  <c r="S28" i="34"/>
  <c r="AA15" i="34"/>
  <c r="AC11" i="40"/>
  <c r="U17" i="34"/>
  <c r="AB17" i="34"/>
  <c r="AB23" i="40"/>
  <c r="U23" i="40"/>
  <c r="AA35" i="39"/>
  <c r="S35" i="39"/>
  <c r="AC44" i="39"/>
  <c r="W44" i="39"/>
  <c r="E89" i="21"/>
  <c r="F89" i="21" s="1"/>
  <c r="G89" i="21" s="1"/>
  <c r="H26" i="21"/>
  <c r="F125" i="21"/>
  <c r="G125" i="21" s="1"/>
  <c r="J43" i="21"/>
  <c r="F43" i="21"/>
  <c r="H43" i="21"/>
  <c r="F9" i="33"/>
  <c r="AB45" i="33"/>
  <c r="U45" i="33"/>
  <c r="F30" i="34"/>
  <c r="H30" i="34"/>
  <c r="H45" i="34"/>
  <c r="J45" i="34"/>
  <c r="F45" i="34"/>
  <c r="F13" i="35"/>
  <c r="J13" i="35"/>
  <c r="H13" i="35"/>
  <c r="H23" i="35"/>
  <c r="F23" i="35"/>
  <c r="H9" i="36"/>
  <c r="J9" i="36"/>
  <c r="F9" i="36"/>
  <c r="H13" i="36"/>
  <c r="J13" i="36"/>
  <c r="AC25" i="37"/>
  <c r="W25" i="37"/>
  <c r="AC31" i="37"/>
  <c r="W31" i="37"/>
  <c r="AA38" i="39"/>
  <c r="S38" i="39"/>
  <c r="W9" i="40"/>
  <c r="AC9" i="40"/>
  <c r="AA40" i="40"/>
  <c r="S40" i="40"/>
  <c r="AC35" i="39"/>
  <c r="W35" i="39"/>
  <c r="U12" i="33"/>
  <c r="AB12" i="33"/>
  <c r="AC8" i="34"/>
  <c r="W8" i="34"/>
  <c r="H12" i="34"/>
  <c r="J12" i="34"/>
  <c r="F12" i="34"/>
  <c r="F29" i="34"/>
  <c r="H29" i="34"/>
  <c r="H47" i="34"/>
  <c r="F47" i="34"/>
  <c r="J47" i="34"/>
  <c r="J25" i="35"/>
  <c r="F25" i="35"/>
  <c r="H25" i="35"/>
  <c r="J35" i="35"/>
  <c r="F35" i="35"/>
  <c r="H35" i="35"/>
  <c r="J37" i="39"/>
  <c r="F37" i="39"/>
  <c r="AC8" i="40"/>
  <c r="W8" i="40"/>
  <c r="AB34" i="40"/>
  <c r="U34" i="40"/>
  <c r="W40" i="40"/>
  <c r="AC40" i="40"/>
  <c r="AZ410" i="3"/>
  <c r="AZ418" i="3"/>
  <c r="AZ419" i="3"/>
  <c r="AZ474" i="3"/>
  <c r="AZ482" i="3"/>
  <c r="AZ486" i="3"/>
  <c r="AZ487" i="3"/>
  <c r="AZ216" i="3"/>
  <c r="AZ258" i="3"/>
  <c r="AZ129" i="3"/>
  <c r="AZ34" i="3"/>
  <c r="AZ38" i="3"/>
  <c r="AZ57" i="3"/>
  <c r="AZ99" i="3"/>
  <c r="C31" i="71"/>
  <c r="D30" i="71"/>
  <c r="AC21" i="37"/>
  <c r="S18" i="35"/>
  <c r="C25" i="40"/>
  <c r="B57" i="43"/>
  <c r="R25" i="77"/>
  <c r="R5" i="77" s="1"/>
  <c r="U5" i="77" s="1"/>
  <c r="D29" i="77"/>
  <c r="D26" i="77"/>
  <c r="D38" i="77"/>
  <c r="D39" i="77" s="1"/>
  <c r="E23" i="77"/>
  <c r="D32" i="77"/>
  <c r="D40" i="71"/>
  <c r="O66" i="71"/>
  <c r="C56" i="71"/>
  <c r="C70" i="71"/>
  <c r="D70" i="71" s="1"/>
  <c r="D63" i="71"/>
  <c r="S28" i="71"/>
  <c r="D34" i="71"/>
  <c r="X27" i="71"/>
  <c r="X33" i="71"/>
  <c r="G24" i="78"/>
  <c r="F25" i="78"/>
  <c r="G25" i="78" s="1"/>
  <c r="R5" i="79"/>
  <c r="K3" i="79"/>
  <c r="S9" i="79"/>
  <c r="S6" i="79"/>
  <c r="V11" i="79"/>
  <c r="V9" i="79"/>
  <c r="V7" i="79"/>
  <c r="V3" i="79"/>
  <c r="M1" i="43"/>
  <c r="N12" i="43"/>
  <c r="P8" i="79"/>
  <c r="T8" i="79"/>
  <c r="W8" i="79" s="1"/>
  <c r="R8" i="79"/>
  <c r="U7" i="79"/>
  <c r="P6" i="79"/>
  <c r="T5" i="79"/>
  <c r="W5" i="79" s="1"/>
  <c r="T6" i="79"/>
  <c r="W6" i="79" s="1"/>
  <c r="T3" i="79"/>
  <c r="W3" i="79" s="1"/>
  <c r="R6" i="79"/>
  <c r="T28" i="79"/>
  <c r="W28" i="79"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M32" i="43"/>
  <c r="O32" i="43"/>
  <c r="C29" i="77"/>
  <c r="C32" i="77" s="1"/>
  <c r="C38" i="77" s="1"/>
  <c r="C39" i="77" s="1"/>
  <c r="B15" i="78"/>
  <c r="R3" i="79"/>
  <c r="S23" i="79"/>
  <c r="U31" i="79"/>
  <c r="AD30" i="79"/>
  <c r="U11" i="79"/>
  <c r="V10" i="79"/>
  <c r="U8" i="79"/>
  <c r="S8" i="79"/>
  <c r="S5" i="79"/>
  <c r="O3" i="79"/>
  <c r="V8" i="79"/>
  <c r="V5" i="79"/>
  <c r="U3" i="79"/>
  <c r="S3" i="79"/>
  <c r="N3" i="79"/>
  <c r="U5" i="79"/>
  <c r="Z3" i="79"/>
  <c r="AB3" i="79"/>
  <c r="S10" i="79"/>
  <c r="R11" i="79"/>
  <c r="R10" i="79"/>
  <c r="S14" i="79"/>
  <c r="S13" i="79"/>
  <c r="U30" i="79"/>
  <c r="U32" i="79"/>
  <c r="P28" i="79"/>
  <c r="P7" i="79"/>
  <c r="T7" i="79"/>
  <c r="W7" i="79" s="1"/>
  <c r="P27" i="79"/>
  <c r="T26" i="79"/>
  <c r="W26" i="79" s="1"/>
  <c r="T27" i="79"/>
  <c r="W27" i="79" s="1"/>
  <c r="N23" i="79"/>
  <c r="C17" i="15"/>
  <c r="C14" i="15"/>
  <c r="C16" i="15"/>
  <c r="C16" i="67"/>
  <c r="G1" i="73"/>
  <c r="E16" i="3" l="1"/>
  <c r="E223" i="3"/>
  <c r="E105" i="3"/>
  <c r="E493" i="3"/>
  <c r="E543" i="3"/>
  <c r="E486" i="3"/>
  <c r="AH6" i="3"/>
  <c r="E498" i="3"/>
  <c r="E483" i="3"/>
  <c r="E25" i="3"/>
  <c r="E178" i="3"/>
  <c r="E226" i="3"/>
  <c r="E346" i="3"/>
  <c r="E372" i="3"/>
  <c r="E60" i="3"/>
  <c r="E540" i="3"/>
  <c r="E15" i="3"/>
  <c r="E79" i="3"/>
  <c r="E129" i="3"/>
  <c r="E220" i="3"/>
  <c r="E383" i="3"/>
  <c r="E36" i="3"/>
  <c r="E289" i="3"/>
  <c r="E80" i="3"/>
  <c r="E308" i="3"/>
  <c r="E539" i="3"/>
  <c r="E148" i="3"/>
  <c r="E199" i="3"/>
  <c r="E575" i="3"/>
  <c r="R6" i="3"/>
  <c r="E442" i="3"/>
  <c r="E541" i="3"/>
  <c r="E449" i="3"/>
  <c r="I3" i="6"/>
  <c r="E554" i="3"/>
  <c r="E435" i="3"/>
  <c r="E417" i="3"/>
  <c r="E56" i="3"/>
  <c r="E95" i="3"/>
  <c r="E132" i="3"/>
  <c r="E258" i="3"/>
  <c r="E349" i="3"/>
  <c r="E544" i="3"/>
  <c r="E59" i="3"/>
  <c r="E484" i="3"/>
  <c r="E47" i="3"/>
  <c r="E65" i="3"/>
  <c r="E195" i="3"/>
  <c r="E248" i="3"/>
  <c r="E266" i="3"/>
  <c r="E386" i="3"/>
  <c r="E584" i="3"/>
  <c r="E24" i="3"/>
  <c r="E87" i="3"/>
  <c r="E250" i="3"/>
  <c r="E341" i="3"/>
  <c r="E222" i="3"/>
  <c r="E373" i="3"/>
  <c r="E78" i="3"/>
  <c r="E219" i="3"/>
  <c r="E251" i="3"/>
  <c r="E20" i="3"/>
  <c r="E265" i="3"/>
  <c r="E77" i="3"/>
  <c r="E181" i="3"/>
  <c r="AK6" i="3"/>
  <c r="K6" i="3"/>
  <c r="E472" i="3"/>
  <c r="E465" i="3"/>
  <c r="E577" i="3"/>
  <c r="E454" i="3"/>
  <c r="E146" i="3"/>
  <c r="E214" i="3"/>
  <c r="E362" i="3"/>
  <c r="E227" i="3"/>
  <c r="E327" i="3"/>
  <c r="AO6" i="3"/>
  <c r="E400" i="3"/>
  <c r="E557" i="3"/>
  <c r="E489" i="3"/>
  <c r="E70" i="3"/>
  <c r="E211" i="3"/>
  <c r="E377" i="3"/>
  <c r="E109" i="3"/>
  <c r="E366" i="3"/>
  <c r="E282" i="3"/>
  <c r="E239" i="3"/>
  <c r="E569" i="3"/>
  <c r="E229" i="3"/>
  <c r="E358" i="3"/>
  <c r="E551" i="3"/>
  <c r="E407" i="3"/>
  <c r="E294" i="3"/>
  <c r="E130" i="3"/>
  <c r="E260" i="3"/>
  <c r="E117" i="3"/>
  <c r="E61" i="3"/>
  <c r="E518" i="3"/>
  <c r="E336" i="3"/>
  <c r="E136" i="3"/>
  <c r="E306" i="3"/>
  <c r="E224" i="3"/>
  <c r="E532" i="3"/>
  <c r="E474" i="3"/>
  <c r="E288" i="3"/>
  <c r="E537" i="3"/>
  <c r="E475" i="3"/>
  <c r="E257" i="3"/>
  <c r="E14" i="3"/>
  <c r="E397" i="3"/>
  <c r="E207" i="3"/>
  <c r="E379" i="3"/>
  <c r="E411" i="3"/>
  <c r="E432" i="3"/>
  <c r="E547" i="3"/>
  <c r="E546" i="3"/>
  <c r="E317" i="3"/>
  <c r="E29" i="3"/>
  <c r="E319" i="3"/>
  <c r="E153" i="3"/>
  <c r="E328" i="3"/>
  <c r="E574" i="3"/>
  <c r="E285" i="3"/>
  <c r="E390" i="3"/>
  <c r="E523" i="3"/>
  <c r="E418" i="3"/>
  <c r="E321" i="3"/>
  <c r="E169" i="3"/>
  <c r="E304" i="3"/>
  <c r="E213" i="3"/>
  <c r="E302" i="3"/>
  <c r="E303" i="3"/>
  <c r="AN6" i="3"/>
  <c r="E280" i="3"/>
  <c r="E329" i="3"/>
  <c r="E188" i="3"/>
  <c r="E116" i="3"/>
  <c r="E393" i="3"/>
  <c r="E564" i="3"/>
  <c r="E427" i="3"/>
  <c r="E507" i="3"/>
  <c r="E440" i="3"/>
  <c r="E376" i="3"/>
  <c r="J6" i="3"/>
  <c r="E419" i="3"/>
  <c r="E401" i="3"/>
  <c r="E40" i="3"/>
  <c r="E108" i="3"/>
  <c r="E119" i="3"/>
  <c r="E242" i="3"/>
  <c r="E276" i="3"/>
  <c r="E333" i="3"/>
  <c r="L6" i="3"/>
  <c r="E43" i="3"/>
  <c r="E473" i="3"/>
  <c r="E522" i="3"/>
  <c r="E364" i="3"/>
  <c r="E158" i="3"/>
  <c r="E22" i="3"/>
  <c r="E536" i="3"/>
  <c r="E212" i="3"/>
  <c r="E286" i="3"/>
  <c r="E499" i="3"/>
  <c r="E502" i="3"/>
  <c r="E466" i="3"/>
  <c r="E430" i="3"/>
  <c r="E255" i="3"/>
  <c r="AP6" i="3"/>
  <c r="E517" i="3"/>
  <c r="E479" i="3"/>
  <c r="E152" i="3"/>
  <c r="E192" i="3"/>
  <c r="E241" i="3"/>
  <c r="E363" i="3"/>
  <c r="E389" i="3"/>
  <c r="E76" i="3"/>
  <c r="E409" i="3"/>
  <c r="E446" i="3"/>
  <c r="E98" i="3"/>
  <c r="E138" i="3"/>
  <c r="E209" i="3"/>
  <c r="E307" i="3"/>
  <c r="E354" i="3"/>
  <c r="E66" i="3"/>
  <c r="E48" i="3"/>
  <c r="E127" i="3"/>
  <c r="Y6" i="3"/>
  <c r="E19" i="3"/>
  <c r="E323" i="3"/>
  <c r="E82" i="3"/>
  <c r="E194" i="3"/>
  <c r="E339" i="3"/>
  <c r="E35" i="3"/>
  <c r="E206" i="3"/>
  <c r="AF6" i="3"/>
  <c r="E176" i="3"/>
  <c r="E524" i="3"/>
  <c r="E568" i="3"/>
  <c r="E545" i="3"/>
  <c r="E228" i="3"/>
  <c r="E133" i="3"/>
  <c r="E560" i="3"/>
  <c r="E587" i="3"/>
  <c r="E468" i="3"/>
  <c r="E106" i="3"/>
  <c r="E171" i="3"/>
  <c r="E315" i="3"/>
  <c r="E74" i="3"/>
  <c r="E368" i="3"/>
  <c r="E204" i="3"/>
  <c r="Z6" i="3"/>
  <c r="E485" i="3"/>
  <c r="E345" i="3"/>
  <c r="E531" i="3"/>
  <c r="E28" i="3"/>
  <c r="E273" i="3"/>
  <c r="E572" i="3"/>
  <c r="E125" i="3"/>
  <c r="E553" i="3"/>
  <c r="N6" i="3"/>
  <c r="E516" i="3"/>
  <c r="E396" i="3"/>
  <c r="E559" i="3"/>
  <c r="V6" i="3"/>
  <c r="E320" i="3"/>
  <c r="E230" i="3"/>
  <c r="E114" i="3"/>
  <c r="E395" i="3"/>
  <c r="E550" i="3"/>
  <c r="E290" i="3"/>
  <c r="E245" i="3"/>
  <c r="E293" i="3"/>
  <c r="E583" i="3"/>
  <c r="E352" i="3"/>
  <c r="E157" i="3"/>
  <c r="E313" i="3"/>
  <c r="E529" i="3"/>
  <c r="E438" i="3"/>
  <c r="W6" i="3"/>
  <c r="E471" i="3"/>
  <c r="E54" i="3"/>
  <c r="E208" i="3"/>
  <c r="E357" i="3"/>
  <c r="E93" i="3"/>
  <c r="E145" i="3"/>
  <c r="U6" i="3"/>
  <c r="E548" i="3"/>
  <c r="E367" i="3"/>
  <c r="E71" i="3"/>
  <c r="AM6" i="3"/>
  <c r="E501" i="3"/>
  <c r="O6" i="3"/>
  <c r="E359" i="3"/>
  <c r="S6" i="3"/>
  <c r="E506" i="3"/>
  <c r="E338" i="3"/>
  <c r="E298" i="3"/>
  <c r="E565" i="3"/>
  <c r="E17" i="3"/>
  <c r="E221" i="3"/>
  <c r="E402" i="3"/>
  <c r="E353" i="3"/>
  <c r="AA6" i="3"/>
  <c r="E142" i="3"/>
  <c r="E247" i="3"/>
  <c r="E318" i="3"/>
  <c r="E404" i="3"/>
  <c r="E107" i="3"/>
  <c r="E86" i="3"/>
  <c r="E72" i="3"/>
  <c r="E46" i="3"/>
  <c r="E172" i="3"/>
  <c r="E264" i="3"/>
  <c r="E380" i="3"/>
  <c r="E527" i="3"/>
  <c r="E205" i="3"/>
  <c r="E140" i="3"/>
  <c r="E173" i="3"/>
  <c r="E525" i="3"/>
  <c r="T6" i="3"/>
  <c r="E469" i="3"/>
  <c r="E408" i="3"/>
  <c r="E360" i="3"/>
  <c r="E497" i="3"/>
  <c r="E494" i="3"/>
  <c r="E470" i="3"/>
  <c r="E26" i="3"/>
  <c r="E41" i="3"/>
  <c r="E198" i="3"/>
  <c r="E225" i="3"/>
  <c r="E332" i="3"/>
  <c r="E356" i="3"/>
  <c r="E42" i="3"/>
  <c r="E428" i="3"/>
  <c r="E412" i="3"/>
  <c r="E96" i="3"/>
  <c r="E170" i="3"/>
  <c r="E275" i="3"/>
  <c r="E342" i="3"/>
  <c r="E112" i="3"/>
  <c r="E340" i="3"/>
  <c r="E113" i="3"/>
  <c r="E326" i="3"/>
  <c r="E165" i="3"/>
  <c r="E149" i="3"/>
  <c r="E141" i="3"/>
  <c r="AD6" i="3"/>
  <c r="E421" i="3"/>
  <c r="E487" i="3"/>
  <c r="E416" i="3"/>
  <c r="E374" i="3"/>
  <c r="E500" i="3"/>
  <c r="E413" i="3"/>
  <c r="E520" i="3"/>
  <c r="E90" i="3"/>
  <c r="E131" i="3"/>
  <c r="E155" i="3"/>
  <c r="E297" i="3"/>
  <c r="E348" i="3"/>
  <c r="E375" i="3"/>
  <c r="E58" i="3"/>
  <c r="E488" i="3"/>
  <c r="E425" i="3"/>
  <c r="E64" i="3"/>
  <c r="E160" i="3"/>
  <c r="E267" i="3"/>
  <c r="E300" i="3"/>
  <c r="E310" i="3"/>
  <c r="E23" i="3"/>
  <c r="E33" i="3"/>
  <c r="E184" i="3"/>
  <c r="E355" i="3"/>
  <c r="E68" i="3"/>
  <c r="E81" i="3"/>
  <c r="E283" i="3"/>
  <c r="E513" i="3"/>
  <c r="E137" i="3"/>
  <c r="E299" i="3"/>
  <c r="AQ6" i="3"/>
  <c r="E370" i="3"/>
  <c r="E62" i="3"/>
  <c r="E365" i="3"/>
  <c r="E238" i="3"/>
  <c r="E128" i="3"/>
  <c r="E120" i="3"/>
  <c r="E330" i="3"/>
  <c r="E481" i="3"/>
  <c r="E344" i="3"/>
  <c r="E429" i="3"/>
  <c r="E55" i="3"/>
  <c r="E203" i="3"/>
  <c r="E274" i="3"/>
  <c r="E580" i="3"/>
  <c r="I6" i="3"/>
  <c r="E252" i="3"/>
  <c r="E576" i="3"/>
  <c r="E448" i="3"/>
  <c r="E443" i="3"/>
  <c r="E581" i="3"/>
  <c r="E88" i="3"/>
  <c r="E166" i="3"/>
  <c r="E316" i="3"/>
  <c r="E480" i="3"/>
  <c r="E526" i="3"/>
  <c r="E322" i="3"/>
  <c r="E509" i="3"/>
  <c r="E431" i="3"/>
  <c r="E311" i="3"/>
  <c r="E570" i="3"/>
  <c r="AB6" i="3"/>
  <c r="E335" i="3"/>
  <c r="E189" i="3"/>
  <c r="E278" i="3"/>
  <c r="E445" i="3"/>
  <c r="E135" i="3"/>
  <c r="E263" i="3"/>
  <c r="E385" i="3"/>
  <c r="X6" i="3"/>
  <c r="E453" i="3"/>
  <c r="E314" i="3"/>
  <c r="E99" i="3"/>
  <c r="E193" i="3"/>
  <c r="E573" i="3"/>
  <c r="E457" i="3"/>
  <c r="E571" i="3"/>
  <c r="E433" i="3"/>
  <c r="E150" i="3"/>
  <c r="E351" i="3"/>
  <c r="E567" i="3"/>
  <c r="E269" i="3"/>
  <c r="E585" i="3"/>
  <c r="E478" i="3"/>
  <c r="E477" i="3"/>
  <c r="AS6" i="3"/>
  <c r="E447" i="3"/>
  <c r="E162" i="3"/>
  <c r="E210" i="3"/>
  <c r="E384" i="3"/>
  <c r="E441" i="3"/>
  <c r="E530" i="3"/>
  <c r="E305" i="3"/>
  <c r="E388" i="3"/>
  <c r="E410" i="3"/>
  <c r="E143" i="3"/>
  <c r="E533" i="3"/>
  <c r="E561" i="3"/>
  <c r="E439" i="3"/>
  <c r="E216" i="3"/>
  <c r="E261" i="3"/>
  <c r="E183" i="3"/>
  <c r="E503" i="3"/>
  <c r="E91" i="3"/>
  <c r="E301" i="3"/>
  <c r="E586" i="3"/>
  <c r="E399" i="3"/>
  <c r="E535" i="3"/>
  <c r="E456" i="3"/>
  <c r="E124" i="3"/>
  <c r="E334" i="3"/>
  <c r="E423" i="3"/>
  <c r="E521" i="3"/>
  <c r="E94" i="3"/>
  <c r="E84" i="3"/>
  <c r="E49" i="3"/>
  <c r="E39" i="3"/>
  <c r="E156" i="3"/>
  <c r="E243" i="3"/>
  <c r="E437" i="3"/>
  <c r="E510" i="3"/>
  <c r="E296" i="3"/>
  <c r="E197" i="3"/>
  <c r="E369" i="3"/>
  <c r="E534" i="3"/>
  <c r="E405" i="3"/>
  <c r="E512" i="3"/>
  <c r="E451" i="3"/>
  <c r="E556" i="3"/>
  <c r="E13" i="3"/>
  <c r="E452" i="3"/>
  <c r="E420" i="3"/>
  <c r="E104" i="3"/>
  <c r="E115" i="3"/>
  <c r="E139" i="3"/>
  <c r="E281" i="3"/>
  <c r="E391" i="3"/>
  <c r="AL6" i="3"/>
  <c r="E75" i="3"/>
  <c r="E482" i="3"/>
  <c r="E18" i="3"/>
  <c r="E100" i="3"/>
  <c r="E174" i="3"/>
  <c r="E324" i="3"/>
  <c r="E52" i="3"/>
  <c r="E147" i="3"/>
  <c r="E102" i="3"/>
  <c r="E287" i="3"/>
  <c r="E83" i="3"/>
  <c r="E244" i="3"/>
  <c r="E167" i="3"/>
  <c r="E312" i="3"/>
  <c r="E552" i="3"/>
  <c r="E464" i="3"/>
  <c r="E398" i="3"/>
  <c r="E459" i="3"/>
  <c r="E566" i="3"/>
  <c r="E582" i="3"/>
  <c r="E460" i="3"/>
  <c r="E436" i="3"/>
  <c r="E57" i="3"/>
  <c r="E187" i="3"/>
  <c r="E240" i="3"/>
  <c r="E259" i="3"/>
  <c r="E378" i="3"/>
  <c r="E504" i="3"/>
  <c r="E110" i="3"/>
  <c r="E462" i="3"/>
  <c r="E467" i="3"/>
  <c r="E103" i="3"/>
  <c r="E200" i="3"/>
  <c r="E249" i="3"/>
  <c r="E371" i="3"/>
  <c r="E492" i="3"/>
  <c r="E67" i="3"/>
  <c r="E144" i="3"/>
  <c r="E233" i="3"/>
  <c r="E381" i="3"/>
  <c r="E63" i="3"/>
  <c r="E118" i="3"/>
  <c r="E309" i="3"/>
  <c r="E21" i="3"/>
  <c r="E234" i="3"/>
  <c r="E325" i="3"/>
  <c r="E232" i="3"/>
  <c r="E50" i="3"/>
  <c r="E218" i="3"/>
  <c r="E101" i="3"/>
  <c r="E434" i="3"/>
  <c r="E262" i="3"/>
  <c r="E177" i="3"/>
  <c r="Q6" i="3"/>
  <c r="E424" i="3"/>
  <c r="AE6" i="3"/>
  <c r="E496" i="3"/>
  <c r="E73" i="3"/>
  <c r="E256" i="3"/>
  <c r="E394" i="3"/>
  <c r="E32" i="3"/>
  <c r="E236" i="3"/>
  <c r="E164" i="3"/>
  <c r="AG6" i="3"/>
  <c r="P6" i="3"/>
  <c r="E558" i="3"/>
  <c r="E444" i="3"/>
  <c r="E121" i="3"/>
  <c r="E295" i="3"/>
  <c r="E30" i="3"/>
  <c r="E217" i="3"/>
  <c r="E268" i="3"/>
  <c r="AJ6" i="3"/>
  <c r="E579" i="3"/>
  <c r="E201" i="3"/>
  <c r="E514" i="3"/>
  <c r="M6" i="3"/>
  <c r="E387" i="3"/>
  <c r="E215" i="3"/>
  <c r="E69" i="3"/>
  <c r="E563" i="3"/>
  <c r="E161" i="3"/>
  <c r="E191" i="3"/>
  <c r="AI6" i="3"/>
  <c r="E246" i="3"/>
  <c r="E253" i="3"/>
  <c r="E85" i="3"/>
  <c r="E511" i="3"/>
  <c r="E45" i="3"/>
  <c r="E519" i="3"/>
  <c r="E458" i="3"/>
  <c r="E562" i="3"/>
  <c r="E450" i="3"/>
  <c r="E111" i="3"/>
  <c r="E279" i="3"/>
  <c r="E31" i="3"/>
  <c r="E549" i="3"/>
  <c r="E271" i="3"/>
  <c r="E515" i="3"/>
  <c r="E414" i="3"/>
  <c r="E505" i="3"/>
  <c r="E476" i="3"/>
  <c r="E27" i="3"/>
  <c r="E186" i="3"/>
  <c r="E331" i="3"/>
  <c r="E44" i="3"/>
  <c r="E175" i="3"/>
  <c r="E343" i="3"/>
  <c r="E508" i="3"/>
  <c r="E555" i="3"/>
  <c r="E337" i="3"/>
  <c r="E270" i="3"/>
  <c r="AR6" i="3"/>
  <c r="E538" i="3"/>
  <c r="E231" i="3"/>
  <c r="E185" i="3"/>
  <c r="E528" i="3"/>
  <c r="E361" i="3"/>
  <c r="E180" i="3"/>
  <c r="E134" i="3"/>
  <c r="E350" i="3"/>
  <c r="E495" i="3"/>
  <c r="E347" i="3"/>
  <c r="E542" i="3"/>
  <c r="E92" i="3"/>
  <c r="E51" i="3"/>
  <c r="E38" i="3"/>
  <c r="E202" i="3"/>
  <c r="E182" i="3"/>
  <c r="E179" i="3"/>
  <c r="E163" i="3"/>
  <c r="E159" i="3"/>
  <c r="T60" i="71"/>
  <c r="D60" i="71"/>
  <c r="E122" i="3"/>
  <c r="E292" i="3"/>
  <c r="E277" i="3"/>
  <c r="E491" i="3"/>
  <c r="E463" i="3"/>
  <c r="E461" i="3"/>
  <c r="E422" i="3"/>
  <c r="E415" i="3"/>
  <c r="E406" i="3"/>
  <c r="E403" i="3"/>
  <c r="E237" i="3"/>
  <c r="U12" i="35"/>
  <c r="AB12" i="35"/>
  <c r="AC34" i="21"/>
  <c r="W34" i="21"/>
  <c r="E30" i="6"/>
  <c r="J7" i="21"/>
  <c r="AC7" i="21" s="1"/>
  <c r="H7" i="21"/>
  <c r="U7" i="21" s="1"/>
  <c r="C26" i="71"/>
  <c r="D26" i="71" s="1"/>
  <c r="D27" i="71"/>
  <c r="E97" i="3"/>
  <c r="E89" i="3"/>
  <c r="E53" i="3"/>
  <c r="E37" i="3"/>
  <c r="E34" i="3"/>
  <c r="AZ22" i="3"/>
  <c r="AZ5" i="3" s="1"/>
  <c r="BA5" i="3"/>
  <c r="E27" i="6" s="1"/>
  <c r="E196" i="3"/>
  <c r="E190" i="3"/>
  <c r="E168" i="3"/>
  <c r="E154" i="3"/>
  <c r="E151" i="3"/>
  <c r="E126" i="3"/>
  <c r="E123" i="3"/>
  <c r="E291" i="3"/>
  <c r="E284" i="3"/>
  <c r="E272" i="3"/>
  <c r="E254" i="3"/>
  <c r="E490" i="3"/>
  <c r="E455" i="3"/>
  <c r="E426" i="3"/>
  <c r="E578" i="3"/>
  <c r="AB38" i="40"/>
  <c r="U38" i="40"/>
  <c r="AA26" i="37"/>
  <c r="S26" i="37"/>
  <c r="E235" i="3"/>
  <c r="E392" i="3"/>
  <c r="E382" i="3"/>
  <c r="S12" i="35"/>
  <c r="AA12" i="35"/>
  <c r="S36" i="21"/>
  <c r="AA36" i="21"/>
  <c r="U36" i="21"/>
  <c r="AB36" i="21"/>
  <c r="L19" i="6"/>
  <c r="L27" i="6" s="1"/>
  <c r="K15" i="1"/>
  <c r="AB34" i="21"/>
  <c r="U34" i="21"/>
  <c r="C15" i="12"/>
  <c r="C49" i="15"/>
  <c r="B40" i="1"/>
  <c r="F24" i="15" s="1"/>
  <c r="C24" i="15" s="1"/>
  <c r="E58" i="40"/>
  <c r="E62" i="39"/>
  <c r="F7" i="35"/>
  <c r="F7" i="34"/>
  <c r="S7" i="34" s="1"/>
  <c r="G67" i="39"/>
  <c r="F69" i="39"/>
  <c r="E63" i="40"/>
  <c r="D65" i="40"/>
  <c r="C49" i="67"/>
  <c r="C15" i="15"/>
  <c r="C18" i="15"/>
  <c r="J19" i="15"/>
  <c r="J18" i="15"/>
  <c r="C23" i="43"/>
  <c r="AA37" i="39"/>
  <c r="S37" i="39"/>
  <c r="AB35" i="35"/>
  <c r="U35" i="35"/>
  <c r="AC35" i="35"/>
  <c r="W35" i="35"/>
  <c r="S25" i="35"/>
  <c r="AA25" i="35"/>
  <c r="AC47" i="34"/>
  <c r="W47" i="34"/>
  <c r="U47" i="34"/>
  <c r="AB47" i="34"/>
  <c r="AA29" i="34"/>
  <c r="S29" i="34"/>
  <c r="W12" i="34"/>
  <c r="AC12" i="34"/>
  <c r="AC13" i="36"/>
  <c r="W13" i="36"/>
  <c r="AA9" i="36"/>
  <c r="S9" i="36"/>
  <c r="AB9" i="36"/>
  <c r="U9" i="36"/>
  <c r="U23" i="35"/>
  <c r="AB23" i="35"/>
  <c r="AC13" i="35"/>
  <c r="W13" i="35"/>
  <c r="AA45" i="34"/>
  <c r="S45" i="34"/>
  <c r="U45" i="34"/>
  <c r="AB45" i="34"/>
  <c r="AA30" i="34"/>
  <c r="S30" i="34"/>
  <c r="AB43" i="21"/>
  <c r="U43" i="21"/>
  <c r="W43" i="21"/>
  <c r="AC43" i="21"/>
  <c r="AB26" i="21"/>
  <c r="U26" i="21"/>
  <c r="F27" i="69"/>
  <c r="F27" i="11"/>
  <c r="F28" i="12"/>
  <c r="C29" i="12" s="1"/>
  <c r="D28" i="12" s="1"/>
  <c r="F27" i="68"/>
  <c r="F48" i="69"/>
  <c r="C48" i="69"/>
  <c r="C30" i="69"/>
  <c r="G58" i="33"/>
  <c r="H58" i="33" s="1"/>
  <c r="I58" i="33" s="1"/>
  <c r="J58" i="33" s="1"/>
  <c r="K58" i="33" s="1"/>
  <c r="L58" i="33" s="1"/>
  <c r="M58" i="33" s="1"/>
  <c r="N58" i="33" s="1"/>
  <c r="O58" i="33" s="1"/>
  <c r="G46" i="36"/>
  <c r="S7" i="35"/>
  <c r="AA7" i="35"/>
  <c r="R38" i="35" s="1"/>
  <c r="AA7" i="34"/>
  <c r="R49" i="34" s="1"/>
  <c r="Q73" i="67"/>
  <c r="Q60" i="67"/>
  <c r="Q74" i="67"/>
  <c r="Q61" i="67"/>
  <c r="M17" i="15"/>
  <c r="J17" i="15" s="1"/>
  <c r="C31" i="15"/>
  <c r="Q61" i="15"/>
  <c r="Q74" i="15"/>
  <c r="Q57" i="67"/>
  <c r="Q66" i="67"/>
  <c r="F59" i="67"/>
  <c r="T56" i="71"/>
  <c r="D56" i="71"/>
  <c r="E38" i="77"/>
  <c r="E39" i="77" s="1"/>
  <c r="C40" i="77" s="1"/>
  <c r="E29" i="77"/>
  <c r="E26" i="77"/>
  <c r="C32" i="71"/>
  <c r="D31" i="71"/>
  <c r="AC37" i="39"/>
  <c r="W37" i="39"/>
  <c r="AA35" i="35"/>
  <c r="S35" i="35"/>
  <c r="AB25" i="35"/>
  <c r="U25" i="35"/>
  <c r="W25" i="35"/>
  <c r="AC25" i="35"/>
  <c r="AA47" i="34"/>
  <c r="S47" i="34"/>
  <c r="AB29" i="34"/>
  <c r="U29" i="34"/>
  <c r="AA12" i="34"/>
  <c r="S12" i="34"/>
  <c r="AB12" i="34"/>
  <c r="U12" i="34"/>
  <c r="AB13" i="36"/>
  <c r="U13" i="36"/>
  <c r="W9" i="36"/>
  <c r="AC9" i="36"/>
  <c r="S23" i="35"/>
  <c r="AA23" i="35"/>
  <c r="AB13" i="35"/>
  <c r="U13" i="35"/>
  <c r="AA13" i="35"/>
  <c r="S13" i="35"/>
  <c r="W45" i="34"/>
  <c r="AC45" i="34"/>
  <c r="AB30" i="34"/>
  <c r="U30" i="34"/>
  <c r="AA9" i="33"/>
  <c r="S9" i="33"/>
  <c r="S43" i="21"/>
  <c r="AA43" i="21"/>
  <c r="H89" i="21"/>
  <c r="I89" i="21" s="1"/>
  <c r="J89" i="21" s="1"/>
  <c r="K89" i="21" s="1"/>
  <c r="F26" i="21"/>
  <c r="B38" i="72"/>
  <c r="D20" i="53"/>
  <c r="B40" i="72" s="1"/>
  <c r="J10" i="40"/>
  <c r="H10" i="39"/>
  <c r="F10" i="40"/>
  <c r="J10" i="39"/>
  <c r="H10" i="40"/>
  <c r="F10" i="39"/>
  <c r="F52" i="37"/>
  <c r="M14" i="1"/>
  <c r="K16" i="1"/>
  <c r="C34" i="69"/>
  <c r="H7" i="33"/>
  <c r="U20" i="71"/>
  <c r="D19" i="71"/>
  <c r="C18" i="71"/>
  <c r="H6" i="3"/>
  <c r="AC6" i="3"/>
  <c r="Q52" i="67"/>
  <c r="F1" i="67"/>
  <c r="E65" i="39"/>
  <c r="AA7" i="21"/>
  <c r="S7" i="21"/>
  <c r="J7" i="35"/>
  <c r="C118" i="43"/>
  <c r="D116" i="43" s="1"/>
  <c r="H7" i="35"/>
  <c r="J7" i="34"/>
  <c r="H7" i="34"/>
  <c r="F1" i="15"/>
  <c r="Q52" i="15"/>
  <c r="F59" i="15"/>
  <c r="F11" i="15"/>
  <c r="M11" i="67"/>
  <c r="J10" i="67" s="1"/>
  <c r="J5" i="67" s="1"/>
  <c r="M11" i="15"/>
  <c r="J10" i="15" s="1"/>
  <c r="J5" i="15" s="1"/>
  <c r="F11" i="67"/>
  <c r="C53" i="67" s="1"/>
  <c r="C31" i="67"/>
  <c r="J18" i="67"/>
  <c r="J19" i="67"/>
  <c r="J17" i="67"/>
  <c r="Q73" i="15"/>
  <c r="Q60" i="15"/>
  <c r="AE6" i="1"/>
  <c r="AB7" i="21" l="1"/>
  <c r="T48" i="21" s="1"/>
  <c r="G48" i="21" s="1"/>
  <c r="W7" i="21"/>
  <c r="AY6" i="3"/>
  <c r="E3" i="6"/>
  <c r="E32" i="77"/>
  <c r="E31" i="6"/>
  <c r="K20" i="6"/>
  <c r="M20" i="6" s="1"/>
  <c r="I20" i="6" s="1"/>
  <c r="S20" i="6" s="1"/>
  <c r="K21" i="6"/>
  <c r="M21" i="6" s="1"/>
  <c r="I21" i="6" s="1"/>
  <c r="S21" i="6" s="1"/>
  <c r="K23" i="6"/>
  <c r="M23" i="6" s="1"/>
  <c r="I23" i="6" s="1"/>
  <c r="S23" i="6" s="1"/>
  <c r="K22" i="6"/>
  <c r="M22" i="6" s="1"/>
  <c r="I22" i="6" s="1"/>
  <c r="S22" i="6" s="1"/>
  <c r="K24" i="6"/>
  <c r="M24" i="6" s="1"/>
  <c r="I24" i="6" s="1"/>
  <c r="S24" i="6" s="1"/>
  <c r="K26" i="6"/>
  <c r="M26" i="6" s="1"/>
  <c r="I26" i="6" s="1"/>
  <c r="S26" i="6" s="1"/>
  <c r="K25" i="6"/>
  <c r="M25" i="6" s="1"/>
  <c r="I25" i="6" s="1"/>
  <c r="S25" i="6" s="1"/>
  <c r="K19" i="6"/>
  <c r="C59" i="15"/>
  <c r="F24" i="67"/>
  <c r="C24" i="67" s="1"/>
  <c r="F22" i="68"/>
  <c r="F41" i="68" s="1"/>
  <c r="L36" i="43"/>
  <c r="N36" i="43" s="1"/>
  <c r="F22" i="11"/>
  <c r="C23" i="11" s="1"/>
  <c r="F22" i="69"/>
  <c r="F41" i="69" s="1"/>
  <c r="F25" i="12"/>
  <c r="C26" i="12" s="1"/>
  <c r="D25" i="12" s="1"/>
  <c r="E65" i="40"/>
  <c r="F63" i="40"/>
  <c r="G69" i="39"/>
  <c r="H67" i="39"/>
  <c r="C19" i="15"/>
  <c r="C20" i="15" s="1"/>
  <c r="C59" i="67"/>
  <c r="C48" i="67"/>
  <c r="C66" i="67" s="1"/>
  <c r="C41" i="77"/>
  <c r="B2" i="77"/>
  <c r="B3" i="77" s="1"/>
  <c r="J24" i="15"/>
  <c r="J26" i="15"/>
  <c r="J29" i="15" s="1"/>
  <c r="J24" i="67"/>
  <c r="J26" i="67"/>
  <c r="C44" i="11"/>
  <c r="D41" i="11" s="1"/>
  <c r="W7" i="34"/>
  <c r="AC7" i="34"/>
  <c r="V49" i="34" s="1"/>
  <c r="I49" i="34" s="1"/>
  <c r="AC7" i="35"/>
  <c r="V38" i="35" s="1"/>
  <c r="I38" i="35" s="1"/>
  <c r="W7" i="35"/>
  <c r="C17" i="71"/>
  <c r="D18" i="71"/>
  <c r="AB7" i="33"/>
  <c r="T48" i="33" s="1"/>
  <c r="G48" i="33" s="1"/>
  <c r="U7" i="33"/>
  <c r="G52" i="37"/>
  <c r="AB10" i="40"/>
  <c r="U10" i="40"/>
  <c r="S10" i="40"/>
  <c r="AA10" i="40"/>
  <c r="AC10" i="40"/>
  <c r="W10" i="40"/>
  <c r="J26" i="21"/>
  <c r="L89" i="21"/>
  <c r="M89" i="21" s="1"/>
  <c r="T32" i="71"/>
  <c r="D32" i="71"/>
  <c r="R50" i="34"/>
  <c r="E49" i="34"/>
  <c r="G52" i="21"/>
  <c r="H52" i="21" s="1"/>
  <c r="C47" i="68"/>
  <c r="D45" i="68" s="1"/>
  <c r="C29" i="68"/>
  <c r="D27" i="68" s="1"/>
  <c r="F45" i="68"/>
  <c r="C29" i="11"/>
  <c r="D27" i="11" s="1"/>
  <c r="C47" i="11"/>
  <c r="D45" i="11" s="1"/>
  <c r="C38" i="43"/>
  <c r="C41" i="43"/>
  <c r="C39" i="43"/>
  <c r="C40" i="43"/>
  <c r="C42" i="43"/>
  <c r="T13" i="43"/>
  <c r="V13" i="43" s="1"/>
  <c r="T9" i="43"/>
  <c r="V9" i="43" s="1"/>
  <c r="T16" i="43"/>
  <c r="V16" i="43" s="1"/>
  <c r="T12" i="43"/>
  <c r="V12" i="43" s="1"/>
  <c r="T8" i="43"/>
  <c r="V8" i="43" s="1"/>
  <c r="T3" i="43"/>
  <c r="V3" i="43" s="1"/>
  <c r="T6" i="43"/>
  <c r="V6" i="43" s="1"/>
  <c r="C33" i="43"/>
  <c r="C37" i="43"/>
  <c r="T15" i="43"/>
  <c r="V15" i="43" s="1"/>
  <c r="T11" i="43"/>
  <c r="V11" i="43" s="1"/>
  <c r="T7" i="43"/>
  <c r="V7" i="43" s="1"/>
  <c r="T14" i="43"/>
  <c r="V14" i="43" s="1"/>
  <c r="T10" i="43"/>
  <c r="V10" i="43" s="1"/>
  <c r="T4" i="43"/>
  <c r="V4" i="43" s="1"/>
  <c r="T2" i="43"/>
  <c r="V2" i="43" s="1"/>
  <c r="T5" i="43"/>
  <c r="V5" i="43" s="1"/>
  <c r="E6" i="6"/>
  <c r="D14" i="12"/>
  <c r="C17" i="4"/>
  <c r="B4" i="52" s="1"/>
  <c r="B43" i="72" s="1"/>
  <c r="D3" i="37"/>
  <c r="B3" i="37" s="1"/>
  <c r="D37" i="11"/>
  <c r="C37" i="11" s="1"/>
  <c r="D3" i="34"/>
  <c r="B3" i="34" s="1"/>
  <c r="D3" i="33"/>
  <c r="B3" i="33" s="1"/>
  <c r="D19" i="11"/>
  <c r="C19" i="11" s="1"/>
  <c r="C10" i="67"/>
  <c r="C5" i="67" s="1"/>
  <c r="C10" i="15"/>
  <c r="C5" i="15" s="1"/>
  <c r="C53" i="15"/>
  <c r="C48" i="15" s="1"/>
  <c r="AB7" i="34"/>
  <c r="T49" i="34" s="1"/>
  <c r="G49" i="34" s="1"/>
  <c r="U7" i="34"/>
  <c r="U7" i="35"/>
  <c r="AB7" i="35"/>
  <c r="T38" i="35" s="1"/>
  <c r="G38" i="35" s="1"/>
  <c r="E6" i="3"/>
  <c r="C38" i="69"/>
  <c r="C35" i="69"/>
  <c r="M16" i="1"/>
  <c r="S10" i="39"/>
  <c r="AA10" i="39"/>
  <c r="W10" i="39"/>
  <c r="AC10" i="39"/>
  <c r="U10" i="39"/>
  <c r="AB10" i="39"/>
  <c r="S26" i="21"/>
  <c r="AA26" i="21"/>
  <c r="R48" i="21" s="1"/>
  <c r="J7" i="33"/>
  <c r="R39" i="35"/>
  <c r="E38" i="35"/>
  <c r="H46" i="36"/>
  <c r="F7" i="33"/>
  <c r="C29" i="69"/>
  <c r="D27" i="69" s="1"/>
  <c r="C47" i="69"/>
  <c r="D45" i="69" s="1"/>
  <c r="F45" i="69"/>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74" i="3"/>
  <c r="AY413" i="3"/>
  <c r="AY583" i="3"/>
  <c r="AY64" i="3"/>
  <c r="AY174" i="3"/>
  <c r="AY113" i="3"/>
  <c r="AY250"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61" i="3"/>
  <c r="S6" i="1" l="1"/>
  <c r="M19" i="6"/>
  <c r="K27" i="6"/>
  <c r="C26" i="68"/>
  <c r="D22" i="68" s="1"/>
  <c r="O36" i="43"/>
  <c r="C44" i="68"/>
  <c r="D41" i="68" s="1"/>
  <c r="C26" i="11"/>
  <c r="D22" i="11" s="1"/>
  <c r="M36" i="43"/>
  <c r="L37" i="43"/>
  <c r="N37" i="43" s="1"/>
  <c r="C26" i="69"/>
  <c r="D22" i="69" s="1"/>
  <c r="Q36" i="43"/>
  <c r="P36" i="43"/>
  <c r="C44" i="69"/>
  <c r="D41" i="69" s="1"/>
  <c r="C23" i="68"/>
  <c r="I67" i="39"/>
  <c r="H69" i="39"/>
  <c r="F65" i="40"/>
  <c r="G63" i="40"/>
  <c r="F69" i="67"/>
  <c r="J29" i="67"/>
  <c r="C26" i="15"/>
  <c r="C23" i="15"/>
  <c r="E48" i="21"/>
  <c r="S7" i="33"/>
  <c r="AA7" i="33"/>
  <c r="R48" i="33" s="1"/>
  <c r="I46" i="36"/>
  <c r="C39" i="35"/>
  <c r="M3" i="35" s="1"/>
  <c r="C38" i="35"/>
  <c r="G53" i="34"/>
  <c r="H53" i="34" s="1"/>
  <c r="G54" i="34"/>
  <c r="H54" i="34" s="1"/>
  <c r="C38" i="15"/>
  <c r="C20" i="11"/>
  <c r="C25" i="11" s="1"/>
  <c r="C24" i="11"/>
  <c r="D10" i="69"/>
  <c r="D10" i="68"/>
  <c r="D10" i="11"/>
  <c r="C10" i="11" s="1"/>
  <c r="D20" i="12"/>
  <c r="C20" i="12" s="1"/>
  <c r="C18" i="12" s="1"/>
  <c r="C34" i="43"/>
  <c r="E34" i="43" s="1"/>
  <c r="E33" i="43"/>
  <c r="G42" i="43"/>
  <c r="I42" i="43" s="1"/>
  <c r="E42" i="43"/>
  <c r="E39" i="43"/>
  <c r="G39" i="43"/>
  <c r="I39" i="43" s="1"/>
  <c r="G38" i="43"/>
  <c r="I38" i="43" s="1"/>
  <c r="E38" i="43"/>
  <c r="E54" i="34"/>
  <c r="F54" i="34" s="1"/>
  <c r="E53" i="34"/>
  <c r="F53" i="34" s="1"/>
  <c r="I43" i="35"/>
  <c r="J43" i="35" s="1"/>
  <c r="I42" i="35"/>
  <c r="J42" i="35" s="1"/>
  <c r="D25" i="6"/>
  <c r="D22" i="6"/>
  <c r="D24" i="6"/>
  <c r="D26" i="6"/>
  <c r="D14" i="6"/>
  <c r="D9" i="6"/>
  <c r="D29" i="6"/>
  <c r="H22" i="6"/>
  <c r="H24" i="6"/>
  <c r="D23" i="6"/>
  <c r="D12" i="6"/>
  <c r="D13" i="6"/>
  <c r="H26" i="6"/>
  <c r="H20" i="6"/>
  <c r="D15" i="6"/>
  <c r="D21" i="6"/>
  <c r="D20" i="6"/>
  <c r="D8" i="6"/>
  <c r="D6" i="6"/>
  <c r="D10" i="6"/>
  <c r="H25" i="6"/>
  <c r="H21" i="6"/>
  <c r="D19" i="6"/>
  <c r="C18" i="4"/>
  <c r="D5" i="6"/>
  <c r="D11" i="6"/>
  <c r="D28" i="6"/>
  <c r="E61" i="40"/>
  <c r="H23" i="6"/>
  <c r="E43" i="35"/>
  <c r="F43" i="35" s="1"/>
  <c r="E42" i="35"/>
  <c r="F42" i="35" s="1"/>
  <c r="AC7" i="33"/>
  <c r="V48" i="33" s="1"/>
  <c r="I48" i="33" s="1"/>
  <c r="W7" i="33"/>
  <c r="N16" i="1"/>
  <c r="L16" i="1"/>
  <c r="C34" i="68"/>
  <c r="C34" i="11"/>
  <c r="G43" i="35"/>
  <c r="H43" i="35" s="1"/>
  <c r="G42" i="35"/>
  <c r="H42" i="35" s="1"/>
  <c r="C66" i="15"/>
  <c r="C38" i="67"/>
  <c r="D17" i="12"/>
  <c r="C17" i="12" s="1"/>
  <c r="C14" i="12"/>
  <c r="C16" i="12" s="1"/>
  <c r="G37" i="43"/>
  <c r="I37" i="43" s="1"/>
  <c r="E37" i="43"/>
  <c r="G40" i="43"/>
  <c r="I40" i="43" s="1"/>
  <c r="E40" i="43"/>
  <c r="E41" i="43"/>
  <c r="G41" i="43"/>
  <c r="I41" i="43" s="1"/>
  <c r="C49" i="34"/>
  <c r="C50" i="34"/>
  <c r="W26" i="21"/>
  <c r="AC26" i="21"/>
  <c r="V48" i="21" s="1"/>
  <c r="I48" i="21" s="1"/>
  <c r="H52" i="37"/>
  <c r="G52" i="33"/>
  <c r="H52" i="33" s="1"/>
  <c r="G53" i="33"/>
  <c r="H53" i="33" s="1"/>
  <c r="C16" i="71"/>
  <c r="D17" i="71"/>
  <c r="I53" i="34"/>
  <c r="J53" i="34" s="1"/>
  <c r="I54" i="34"/>
  <c r="J54" i="34" s="1"/>
  <c r="C17" i="67"/>
  <c r="C14" i="67"/>
  <c r="C15" i="67" l="1"/>
  <c r="C18" i="67"/>
  <c r="R20" i="6"/>
  <c r="M27" i="6"/>
  <c r="I19" i="6"/>
  <c r="AQ6" i="1"/>
  <c r="AR6" i="1"/>
  <c r="E6" i="70"/>
  <c r="E2" i="70" s="1"/>
  <c r="T6" i="1"/>
  <c r="T16" i="1" s="1"/>
  <c r="S16" i="1"/>
  <c r="P37" i="43"/>
  <c r="M37" i="43"/>
  <c r="Q37" i="43"/>
  <c r="O37" i="43"/>
  <c r="R25" i="6"/>
  <c r="H63" i="40"/>
  <c r="G65" i="40"/>
  <c r="I69" i="39"/>
  <c r="J67" i="39"/>
  <c r="C29" i="15"/>
  <c r="C57" i="15" s="1"/>
  <c r="C64" i="15" s="1"/>
  <c r="C22" i="11"/>
  <c r="I52" i="21"/>
  <c r="J52" i="21" s="1"/>
  <c r="I53" i="21"/>
  <c r="J53" i="21" s="1"/>
  <c r="G53" i="21"/>
  <c r="H53" i="21" s="1"/>
  <c r="C21" i="12"/>
  <c r="C38" i="68"/>
  <c r="C35" i="68"/>
  <c r="F50" i="69"/>
  <c r="F50" i="68"/>
  <c r="F50" i="11"/>
  <c r="I52" i="33"/>
  <c r="J52" i="33" s="1"/>
  <c r="D30" i="6"/>
  <c r="M19" i="9"/>
  <c r="C118" i="9" s="1"/>
  <c r="D27" i="6"/>
  <c r="D31" i="6" s="1"/>
  <c r="R23" i="6"/>
  <c r="R26" i="6"/>
  <c r="R22" i="6"/>
  <c r="C30" i="43"/>
  <c r="D19" i="68"/>
  <c r="C10" i="68"/>
  <c r="C28" i="11"/>
  <c r="C27" i="11" s="1"/>
  <c r="E48" i="33"/>
  <c r="R49" i="33"/>
  <c r="E53" i="21"/>
  <c r="F53" i="21" s="1"/>
  <c r="E52" i="21"/>
  <c r="F52" i="21" s="1"/>
  <c r="D16" i="71"/>
  <c r="U16" i="71" s="1"/>
  <c r="T16" i="71"/>
  <c r="C15" i="71"/>
  <c r="I52" i="37"/>
  <c r="J52" i="37" s="1"/>
  <c r="K52" i="37" s="1"/>
  <c r="L52" i="37" s="1"/>
  <c r="M52" i="37" s="1"/>
  <c r="N52" i="37" s="1"/>
  <c r="O52" i="37" s="1"/>
  <c r="C38" i="11"/>
  <c r="C35" i="11"/>
  <c r="C4" i="52"/>
  <c r="B45" i="72" s="1"/>
  <c r="A10" i="51"/>
  <c r="B9" i="72" s="1"/>
  <c r="A7" i="51"/>
  <c r="B7" i="72" s="1"/>
  <c r="D16" i="6"/>
  <c r="R21" i="6"/>
  <c r="R24" i="6"/>
  <c r="C31" i="43"/>
  <c r="C10" i="69"/>
  <c r="C8" i="69" s="1"/>
  <c r="C5" i="69" s="1"/>
  <c r="D19" i="69"/>
  <c r="J46" i="36"/>
  <c r="R49" i="21"/>
  <c r="H7" i="37"/>
  <c r="E6" i="76"/>
  <c r="C19" i="67" l="1"/>
  <c r="C20" i="67" s="1"/>
  <c r="S19" i="6"/>
  <c r="S27" i="6" s="1"/>
  <c r="L18" i="9"/>
  <c r="I27" i="6"/>
  <c r="H19" i="6"/>
  <c r="C31" i="11"/>
  <c r="K67" i="39"/>
  <c r="J69" i="39"/>
  <c r="C33" i="11"/>
  <c r="C39" i="11" s="1"/>
  <c r="C43" i="11" s="1"/>
  <c r="I63" i="40"/>
  <c r="H65" i="40"/>
  <c r="Q49" i="15"/>
  <c r="C13" i="15"/>
  <c r="C56" i="15" s="1"/>
  <c r="C65" i="15" s="1"/>
  <c r="C58" i="15" s="1"/>
  <c r="C67" i="15" s="1"/>
  <c r="C68" i="15" s="1"/>
  <c r="C71" i="15" s="1"/>
  <c r="J14" i="15"/>
  <c r="C36" i="15"/>
  <c r="J59" i="15"/>
  <c r="J60" i="15" s="1"/>
  <c r="E2" i="76"/>
  <c r="K46" i="36"/>
  <c r="L46" i="36" s="1"/>
  <c r="M46" i="36" s="1"/>
  <c r="N46" i="36" s="1"/>
  <c r="O46" i="36" s="1"/>
  <c r="F7" i="36" s="1"/>
  <c r="C23" i="69"/>
  <c r="E53" i="33"/>
  <c r="F53" i="33" s="1"/>
  <c r="E52" i="33"/>
  <c r="F52" i="33" s="1"/>
  <c r="C19" i="68"/>
  <c r="D37" i="68"/>
  <c r="C37" i="68" s="1"/>
  <c r="C33" i="68" s="1"/>
  <c r="C49" i="21"/>
  <c r="C48" i="21"/>
  <c r="H7" i="36"/>
  <c r="C19" i="69"/>
  <c r="C24" i="69" s="1"/>
  <c r="D37" i="69"/>
  <c r="C37" i="69" s="1"/>
  <c r="C33" i="69" s="1"/>
  <c r="J7" i="37"/>
  <c r="C14" i="71"/>
  <c r="D15" i="71"/>
  <c r="C48" i="33"/>
  <c r="C49" i="33"/>
  <c r="B2" i="43"/>
  <c r="I6" i="6"/>
  <c r="I5" i="6"/>
  <c r="I53" i="33"/>
  <c r="J53" i="33" s="1"/>
  <c r="U7" i="37"/>
  <c r="AB7" i="37"/>
  <c r="T42" i="37" s="1"/>
  <c r="G42" i="37" s="1"/>
  <c r="C22" i="12"/>
  <c r="C30" i="12" s="1"/>
  <c r="C28" i="12" s="1"/>
  <c r="F7" i="37"/>
  <c r="B6" i="76"/>
  <c r="C26" i="67" l="1"/>
  <c r="C23" i="67"/>
  <c r="H27" i="6"/>
  <c r="R19" i="6"/>
  <c r="L19" i="9"/>
  <c r="C42" i="11"/>
  <c r="C41" i="11" s="1"/>
  <c r="L67" i="39"/>
  <c r="K69" i="39"/>
  <c r="J7" i="36"/>
  <c r="AC7" i="36" s="1"/>
  <c r="V36" i="36" s="1"/>
  <c r="I36" i="36" s="1"/>
  <c r="C46" i="11"/>
  <c r="C45" i="11" s="1"/>
  <c r="J63" i="40"/>
  <c r="I65" i="40"/>
  <c r="C75" i="15"/>
  <c r="C37" i="15"/>
  <c r="C30" i="15" s="1"/>
  <c r="C39" i="15" s="1"/>
  <c r="C40" i="15" s="1"/>
  <c r="C46" i="15" s="1"/>
  <c r="Q70" i="15"/>
  <c r="Q48" i="15"/>
  <c r="L46" i="15"/>
  <c r="J13" i="15"/>
  <c r="J23" i="15" s="1"/>
  <c r="J22" i="15"/>
  <c r="C27" i="12"/>
  <c r="C25" i="12" s="1"/>
  <c r="C32" i="12" s="1"/>
  <c r="B2" i="12" s="1"/>
  <c r="B3" i="12" s="1"/>
  <c r="B2" i="76"/>
  <c r="B3" i="76" s="1"/>
  <c r="G46" i="37"/>
  <c r="H46" i="37" s="1"/>
  <c r="AA7" i="37"/>
  <c r="R42" i="37" s="1"/>
  <c r="S7" i="37"/>
  <c r="B3" i="43"/>
  <c r="AC7" i="37"/>
  <c r="V42" i="37" s="1"/>
  <c r="I42" i="37" s="1"/>
  <c r="W7" i="37"/>
  <c r="B3" i="21"/>
  <c r="B2" i="21"/>
  <c r="C24" i="68"/>
  <c r="C20" i="68"/>
  <c r="C25" i="68" s="1"/>
  <c r="C20" i="69"/>
  <c r="C25" i="69" s="1"/>
  <c r="C22" i="69" s="1"/>
  <c r="S7" i="36"/>
  <c r="AA7" i="36"/>
  <c r="R36" i="36" s="1"/>
  <c r="C13" i="71"/>
  <c r="D14" i="71"/>
  <c r="C39" i="69"/>
  <c r="C43" i="69" s="1"/>
  <c r="C42" i="69"/>
  <c r="AB7" i="36"/>
  <c r="T36" i="36" s="1"/>
  <c r="G36" i="36" s="1"/>
  <c r="U7" i="36"/>
  <c r="C42" i="68"/>
  <c r="C39" i="68"/>
  <c r="C43" i="68" s="1"/>
  <c r="C19" i="9"/>
  <c r="C20" i="9"/>
  <c r="C29" i="67" l="1"/>
  <c r="W7" i="36"/>
  <c r="R6" i="1"/>
  <c r="R27" i="6"/>
  <c r="C49" i="11"/>
  <c r="C51" i="11" s="1"/>
  <c r="C52" i="11" s="1"/>
  <c r="B2" i="11" s="1"/>
  <c r="B3" i="11" s="1"/>
  <c r="B2" i="15"/>
  <c r="B3" i="15" s="1"/>
  <c r="J65" i="40"/>
  <c r="K63" i="40"/>
  <c r="M67" i="39"/>
  <c r="L69" i="39"/>
  <c r="C83" i="15"/>
  <c r="C82" i="15" s="1"/>
  <c r="C43" i="15"/>
  <c r="Q69" i="15"/>
  <c r="Q68" i="15" s="1"/>
  <c r="C80" i="15"/>
  <c r="C79" i="15" s="1"/>
  <c r="J16" i="15"/>
  <c r="J25" i="15" s="1"/>
  <c r="Q65" i="15"/>
  <c r="Q56" i="15"/>
  <c r="Q47" i="15"/>
  <c r="Q53" i="15" s="1"/>
  <c r="C41" i="69"/>
  <c r="C46" i="69"/>
  <c r="C45" i="69" s="1"/>
  <c r="C28" i="69"/>
  <c r="C27" i="69" s="1"/>
  <c r="C31" i="69" s="1"/>
  <c r="C46" i="68"/>
  <c r="C45" i="68" s="1"/>
  <c r="C103" i="9"/>
  <c r="C21" i="9"/>
  <c r="C102" i="9"/>
  <c r="C28" i="68"/>
  <c r="C27" i="68" s="1"/>
  <c r="I46" i="37"/>
  <c r="J46" i="37" s="1"/>
  <c r="G47" i="37"/>
  <c r="H47" i="37" s="1"/>
  <c r="I40" i="36"/>
  <c r="J40" i="36" s="1"/>
  <c r="G40" i="36"/>
  <c r="H40" i="36" s="1"/>
  <c r="G41" i="36"/>
  <c r="H41" i="36" s="1"/>
  <c r="D13" i="71"/>
  <c r="C12" i="71"/>
  <c r="C41" i="68"/>
  <c r="R37" i="36"/>
  <c r="E36" i="36"/>
  <c r="C22" i="68"/>
  <c r="R43" i="37"/>
  <c r="E42" i="37"/>
  <c r="M21" i="67"/>
  <c r="F35" i="67"/>
  <c r="L51" i="15"/>
  <c r="J14" i="67" l="1"/>
  <c r="Q49" i="67"/>
  <c r="C36" i="67"/>
  <c r="C57" i="67"/>
  <c r="C64" i="67" s="1"/>
  <c r="C13" i="67"/>
  <c r="F63" i="67"/>
  <c r="J20" i="67"/>
  <c r="R16" i="1"/>
  <c r="C49" i="68"/>
  <c r="C51" i="68" s="1"/>
  <c r="Q67" i="15"/>
  <c r="L57" i="15"/>
  <c r="L60" i="15" s="1"/>
  <c r="Q57" i="15" s="1"/>
  <c r="Q62" i="15" s="1"/>
  <c r="C56" i="11"/>
  <c r="C57" i="11" s="1"/>
  <c r="M69" i="39"/>
  <c r="N67" i="39"/>
  <c r="L63" i="40"/>
  <c r="K65" i="40"/>
  <c r="C31" i="68"/>
  <c r="C49" i="69"/>
  <c r="C51" i="69" s="1"/>
  <c r="C52" i="69" s="1"/>
  <c r="L57" i="67"/>
  <c r="C42" i="37"/>
  <c r="C43" i="37"/>
  <c r="E40" i="36"/>
  <c r="F40" i="36" s="1"/>
  <c r="E41" i="36"/>
  <c r="F41" i="36" s="1"/>
  <c r="E47" i="37"/>
  <c r="F47" i="37" s="1"/>
  <c r="E46" i="37"/>
  <c r="F46" i="37" s="1"/>
  <c r="C37" i="36"/>
  <c r="C36" i="36"/>
  <c r="C11" i="71"/>
  <c r="D12" i="71"/>
  <c r="U12" i="71" s="1"/>
  <c r="T12" i="71"/>
  <c r="I41" i="36"/>
  <c r="J41" i="36" s="1"/>
  <c r="I47" i="37"/>
  <c r="J47" i="37" s="1"/>
  <c r="Q70" i="67" l="1"/>
  <c r="C37" i="67"/>
  <c r="C30" i="67" s="1"/>
  <c r="C39" i="67" s="1"/>
  <c r="C75" i="67"/>
  <c r="C56" i="67"/>
  <c r="C65" i="67" s="1"/>
  <c r="C58" i="67" s="1"/>
  <c r="C67" i="67" s="1"/>
  <c r="C68" i="67" s="1"/>
  <c r="C71" i="67" s="1"/>
  <c r="J22" i="67"/>
  <c r="J13" i="67"/>
  <c r="J23" i="67" s="1"/>
  <c r="Q66" i="15"/>
  <c r="Q75" i="15" s="1"/>
  <c r="C52" i="68"/>
  <c r="B2" i="68" s="1"/>
  <c r="B3" i="68" s="1"/>
  <c r="L65" i="40"/>
  <c r="M63" i="40"/>
  <c r="N69" i="39"/>
  <c r="O67" i="39"/>
  <c r="O69" i="39" s="1"/>
  <c r="B2" i="69"/>
  <c r="B3" i="69" s="1"/>
  <c r="C57" i="69"/>
  <c r="C56" i="69" s="1"/>
  <c r="C10" i="71"/>
  <c r="D11" i="71"/>
  <c r="L51" i="67"/>
  <c r="Q67" i="67" l="1"/>
  <c r="J16" i="67"/>
  <c r="J25" i="67" s="1"/>
  <c r="C40" i="67"/>
  <c r="Q69" i="67"/>
  <c r="Q68" i="67" s="1"/>
  <c r="C80" i="67"/>
  <c r="C79" i="67" s="1"/>
  <c r="C57" i="68"/>
  <c r="C56" i="68" s="1"/>
  <c r="F7" i="39"/>
  <c r="J7" i="39"/>
  <c r="H7" i="39"/>
  <c r="N63" i="40"/>
  <c r="M65" i="40"/>
  <c r="C9" i="71"/>
  <c r="D10" i="71"/>
  <c r="C45" i="67" l="1"/>
  <c r="C46" i="67" s="1"/>
  <c r="Q56" i="67"/>
  <c r="Q62" i="67" s="1"/>
  <c r="Q47" i="67"/>
  <c r="Q53" i="67" s="1"/>
  <c r="Q65" i="67"/>
  <c r="Q75" i="67" s="1"/>
  <c r="D2" i="67"/>
  <c r="C43" i="67"/>
  <c r="C83" i="67"/>
  <c r="C82" i="67" s="1"/>
  <c r="U7" i="39"/>
  <c r="AB7" i="39"/>
  <c r="T47" i="39" s="1"/>
  <c r="G47" i="39" s="1"/>
  <c r="S7" i="39"/>
  <c r="AA7" i="39"/>
  <c r="R47" i="39" s="1"/>
  <c r="N65" i="40"/>
  <c r="O63" i="40"/>
  <c r="O65" i="40" s="1"/>
  <c r="W7" i="39"/>
  <c r="AC7" i="39"/>
  <c r="V47" i="39" s="1"/>
  <c r="I47" i="39" s="1"/>
  <c r="F7" i="40"/>
  <c r="D9" i="71"/>
  <c r="C8" i="71"/>
  <c r="B2" i="67" l="1"/>
  <c r="B3" i="67"/>
  <c r="AA7" i="40"/>
  <c r="R42" i="40" s="1"/>
  <c r="S7" i="40"/>
  <c r="I51" i="39"/>
  <c r="J51" i="39" s="1"/>
  <c r="J7" i="40"/>
  <c r="R48" i="39"/>
  <c r="E47" i="39"/>
  <c r="G51" i="39"/>
  <c r="H51" i="39" s="1"/>
  <c r="G52" i="39"/>
  <c r="H52" i="39" s="1"/>
  <c r="H7" i="40"/>
  <c r="C7" i="71"/>
  <c r="D8" i="71"/>
  <c r="D20" i="9"/>
  <c r="D19" i="9"/>
  <c r="AO6" i="1"/>
  <c r="D103" i="9" l="1"/>
  <c r="G20" i="9"/>
  <c r="D102" i="9"/>
  <c r="G19" i="9"/>
  <c r="D21" i="9"/>
  <c r="D22" i="9"/>
  <c r="B6" i="70"/>
  <c r="B2" i="70" s="1"/>
  <c r="B3" i="70" s="1"/>
  <c r="AB7" i="40"/>
  <c r="T42" i="40" s="1"/>
  <c r="G42" i="40" s="1"/>
  <c r="U7" i="40"/>
  <c r="C47" i="39"/>
  <c r="C48" i="39"/>
  <c r="E52" i="39"/>
  <c r="F52" i="39" s="1"/>
  <c r="E51" i="39"/>
  <c r="F51" i="39" s="1"/>
  <c r="AC7" i="40"/>
  <c r="V42" i="40" s="1"/>
  <c r="I42" i="40" s="1"/>
  <c r="W7" i="40"/>
  <c r="I52" i="39"/>
  <c r="J52" i="39" s="1"/>
  <c r="R43" i="40"/>
  <c r="E42" i="40"/>
  <c r="D7" i="71"/>
  <c r="C6" i="71"/>
  <c r="G21" i="9" l="1"/>
  <c r="D14" i="74"/>
  <c r="C32" i="9"/>
  <c r="C35" i="9" s="1"/>
  <c r="C34" i="9" s="1"/>
  <c r="G22" i="9"/>
  <c r="C42" i="40"/>
  <c r="C43" i="40"/>
  <c r="B63" i="39"/>
  <c r="F63" i="39" s="1"/>
  <c r="B57" i="39"/>
  <c r="F57" i="39" s="1"/>
  <c r="B64" i="39"/>
  <c r="F64" i="39" s="1"/>
  <c r="B58" i="39"/>
  <c r="F58" i="39" s="1"/>
  <c r="B56" i="39"/>
  <c r="F56" i="39" s="1"/>
  <c r="F65" i="39" s="1"/>
  <c r="B2" i="39" s="1"/>
  <c r="B3" i="39" s="1"/>
  <c r="B60" i="39"/>
  <c r="F60" i="39" s="1"/>
  <c r="B62" i="39"/>
  <c r="F62" i="39" s="1"/>
  <c r="B61" i="39"/>
  <c r="F61" i="39" s="1"/>
  <c r="B59" i="39"/>
  <c r="F59" i="39" s="1"/>
  <c r="E47" i="40"/>
  <c r="F47" i="40" s="1"/>
  <c r="E46" i="40"/>
  <c r="F46" i="40" s="1"/>
  <c r="I46" i="40"/>
  <c r="J46" i="40" s="1"/>
  <c r="I47" i="40"/>
  <c r="J47" i="40" s="1"/>
  <c r="G47" i="40"/>
  <c r="H47" i="40" s="1"/>
  <c r="G46" i="40"/>
  <c r="H46" i="40" s="1"/>
  <c r="D6" i="71"/>
  <c r="C5" i="71"/>
  <c r="B5" i="74" l="1"/>
  <c r="D5" i="74" s="1"/>
  <c r="E14" i="74"/>
  <c r="F14" i="74"/>
  <c r="B58" i="40"/>
  <c r="F58" i="40" s="1"/>
  <c r="B52" i="40"/>
  <c r="F52" i="40" s="1"/>
  <c r="B51" i="40"/>
  <c r="F51" i="40" s="1"/>
  <c r="B59" i="40"/>
  <c r="F59" i="40" s="1"/>
  <c r="B57" i="40"/>
  <c r="F57" i="40" s="1"/>
  <c r="B53" i="40"/>
  <c r="F53" i="40" s="1"/>
  <c r="B60" i="40"/>
  <c r="F60" i="40" s="1"/>
  <c r="B54" i="40"/>
  <c r="F54" i="40" s="1"/>
  <c r="B56" i="40"/>
  <c r="F56" i="40" s="1"/>
  <c r="F61" i="40"/>
  <c r="B2" i="40" s="1"/>
  <c r="B3" i="40" s="1"/>
  <c r="D5" i="71"/>
  <c r="M24" i="43"/>
  <c r="D45" i="9"/>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<sst xmlns="http://schemas.openxmlformats.org/spreadsheetml/2006/main" count="7990" uniqueCount="3495">
  <si>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</si>
  <si>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</si>
  <si>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</si>
  <si>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</si>
  <si>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</si>
  <si>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</si>
  <si>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</si>
  <si>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</si>
  <si>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</si>
  <si>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</si>
  <si>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</si>
  <si>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</si>
  <si>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</si>
  <si>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</si>
  <si>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</si>
  <si>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</si>
  <si>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</si>
  <si>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</si>
  <si>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</si>
  <si>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</si>
  <si>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</si>
  <si>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</si>
  <si>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</si>
  <si>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</si>
  <si>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</si>
  <si>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</si>
  <si>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</si>
  <si>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</si>
  <si>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</si>
  <si>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</si>
  <si>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</si>
  <si>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</si>
  <si>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</si>
  <si>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</si>
  <si>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</si>
  <si>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</si>
  <si>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</si>
  <si>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</si>
  <si>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</si>
  <si>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</si>
  <si>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</si>
  <si>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</si>
  <si>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</si>
  <si>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</si>
  <si>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</si>
  <si>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</si>
  <si>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</si>
  <si>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</si>
  <si>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</si>
  <si>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</si>
  <si>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</si>
  <si>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</si>
  <si>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</si>
  <si>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</si>
  <si>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</si>
  <si>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</si>
  <si>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</si>
  <si>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</si>
  <si>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</si>
  <si>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</si>
  <si>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</si>
  <si>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</si>
  <si>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</si>
  <si>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</si>
  <si>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</si>
  <si>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</si>
  <si>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</si>
  <si>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</si>
  <si>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</si>
  <si>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</si>
  <si>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</si>
  <si>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</si>
  <si>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</si>
  <si>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</si>
  <si>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</si>
  <si>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</si>
  <si>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</si>
  <si>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</si>
  <si>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</si>
  <si>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</si>
  <si>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</si>
  <si>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</si>
  <si>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</si>
  <si>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</si>
  <si>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</si>
  <si>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</si>
  <si>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</si>
  <si>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</si>
  <si>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</si>
  <si>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</si>
  <si>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</si>
  <si>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</si>
  <si>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</si>
  <si>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</si>
  <si>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</si>
  <si>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</si>
  <si>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</si>
  <si>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</si>
  <si>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</si>
  <si>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</si>
  <si>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</si>
  <si>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</si>
  <si>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</si>
  <si>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</si>
  <si>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</si>
  <si>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</si>
  <si>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</si>
  <si>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</si>
  <si>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</si>
  <si>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</si>
  <si>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</si>
  <si>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</si>
  <si>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</si>
  <si>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</si>
  <si>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</si>
  <si>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</si>
  <si>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</si>
  <si>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</si>
  <si>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</si>
  <si>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</si>
  <si>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</si>
  <si>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</si>
  <si>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</si>
  <si>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</si>
  <si>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</si>
  <si>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</si>
  <si>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</si>
  <si>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</si>
  <si>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</si>
  <si>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</si>
  <si>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</si>
  <si>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</si>
  <si>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</si>
  <si>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</si>
  <si>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</si>
  <si>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</si>
  <si>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</si>
  <si>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</si>
  <si>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</si>
  <si>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</si>
  <si>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</si>
  <si>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</si>
  <si>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</si>
  <si>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</si>
  <si>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</si>
  <si>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</si>
  <si>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</si>
  <si>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</si>
  <si>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</si>
  <si>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</si>
  <si>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</si>
  <si>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</si>
  <si>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</si>
  <si>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</si>
  <si>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</si>
  <si>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</si>
  <si>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</si>
  <si>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</si>
  <si>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</si>
  <si>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</si>
  <si>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</si>
  <si>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</si>
  <si>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</si>
  <si>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</si>
  <si>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</si>
  <si>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</si>
  <si>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</si>
  <si>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</si>
  <si>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</si>
  <si>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</si>
  <si>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</si>
  <si>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</si>
  <si>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</si>
  <si>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</si>
  <si>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</si>
  <si>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</si>
  <si>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</si>
  <si>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</si>
  <si>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</si>
  <si>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</si>
  <si>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</si>
  <si>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</si>
  <si>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</si>
  <si>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</si>
  <si>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</si>
  <si>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</si>
  <si>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</si>
  <si>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</si>
  <si>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</si>
  <si>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</si>
  <si>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</si>
  <si>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</si>
  <si>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</si>
  <si>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</si>
  <si>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</si>
  <si>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</si>
  <si>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</si>
  <si>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</si>
  <si>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</si>
  <si>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</si>
  <si>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</si>
  <si>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</si>
  <si>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</si>
  <si>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</si>
  <si>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</si>
  <si>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</si>
  <si>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</si>
  <si>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</si>
  <si>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</si>
  <si>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</si>
  <si>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</si>
  <si>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</si>
  <si>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</si>
  <si>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</si>
  <si>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</si>
  <si>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</si>
  <si>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</si>
  <si>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</si>
  <si>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</si>
  <si>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</si>
  <si>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</si>
  <si>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</si>
  <si>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</si>
  <si>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</si>
  <si>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</si>
  <si>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</si>
  <si>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</si>
  <si>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</si>
  <si>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</si>
  <si>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</si>
  <si>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</si>
  <si>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</si>
  <si>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</si>
  <si>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</si>
  <si>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</si>
  <si>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</si>
  <si>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</si>
  <si>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</si>
  <si>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</si>
  <si>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</si>
  <si>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</si>
  <si>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</si>
  <si>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</si>
  <si>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</si>
  <si>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</si>
  <si>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</si>
  <si>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</si>
  <si>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</si>
  <si>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</si>
  <si>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</si>
  <si>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</si>
  <si>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</si>
  <si>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</si>
  <si>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</si>
  <si>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</si>
  <si>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</si>
  <si>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</si>
  <si>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</si>
  <si>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</si>
  <si>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</si>
  <si>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</si>
  <si>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</si>
  <si>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</si>
  <si>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</si>
  <si>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</si>
  <si>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</si>
  <si>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</si>
  <si>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</si>
  <si>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</si>
  <si>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</si>
  <si>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</si>
  <si>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</si>
  <si>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</si>
  <si>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</si>
  <si>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</si>
  <si>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</si>
  <si>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</si>
  <si>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</si>
  <si>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</si>
  <si>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</si>
  <si>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</si>
  <si>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</si>
  <si>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</si>
  <si>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</si>
  <si>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</si>
  <si>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</si>
  <si>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</si>
  <si>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</si>
  <si>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</si>
  <si>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</si>
  <si>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</si>
  <si>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</si>
  <si>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</si>
  <si>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</si>
  <si>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</si>
  <si>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</si>
  <si>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</si>
  <si>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</si>
  <si>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</si>
  <si>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</si>
  <si>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</si>
  <si>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</si>
  <si>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</si>
  <si>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</si>
  <si>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</si>
  <si>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</si>
  <si>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</si>
  <si>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</si>
  <si>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</si>
  <si>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</si>
  <si>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</si>
  <si>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</si>
  <si>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</si>
  <si>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</si>
  <si>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</si>
  <si>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</si>
  <si>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</si>
  <si>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</si>
  <si>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</si>
  <si>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</si>
  <si>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</si>
  <si>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</si>
  <si>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</si>
  <si>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</si>
  <si>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</si>
  <si>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</si>
  <si>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</si>
  <si>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</si>
  <si>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</si>
  <si>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</si>
  <si>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</si>
  <si>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</si>
  <si>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</si>
  <si>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</si>
  <si>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</si>
  <si>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</si>
  <si>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</si>
  <si>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</si>
  <si>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</si>
  <si>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</si>
  <si>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</si>
  <si>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</si>
  <si>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</si>
  <si>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</si>
  <si>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</si>
  <si>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</si>
  <si>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</si>
  <si>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</si>
  <si>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</si>
  <si>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</si>
  <si>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</si>
  <si>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</si>
  <si>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</si>
  <si>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</si>
  <si>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</si>
  <si>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</si>
  <si>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</si>
  <si>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</si>
  <si>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</si>
  <si>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</si>
  <si>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</si>
  <si>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</si>
  <si>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</si>
  <si>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</si>
  <si>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</si>
  <si>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</si>
  <si>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</si>
  <si>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</si>
  <si>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</si>
  <si>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</si>
  <si>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</si>
  <si>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</si>
  <si>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</si>
  <si>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</si>
  <si>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</si>
  <si>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</si>
  <si>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</si>
  <si>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</si>
  <si>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</si>
  <si>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</si>
  <si>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</si>
  <si>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</si>
  <si>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</si>
  <si>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</si>
  <si>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</si>
  <si>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</si>
  <si>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</si>
  <si>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</si>
  <si>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</si>
  <si>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</si>
  <si>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</si>
  <si>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</si>
  <si>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</si>
  <si>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</si>
  <si>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</si>
  <si>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</si>
  <si>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</si>
  <si>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</si>
  <si>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</si>
  <si>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</si>
  <si>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</si>
  <si>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</si>
  <si>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</si>
  <si>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</si>
  <si>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</si>
  <si>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</si>
  <si>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</si>
  <si>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</si>
  <si>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</si>
  <si>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</si>
  <si>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</si>
  <si>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</si>
  <si>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</si>
  <si>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</si>
  <si>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</si>
  <si>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</si>
  <si>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</si>
  <si>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</si>
  <si>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</si>
  <si>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</si>
  <si>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</si>
  <si>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</si>
  <si>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</si>
  <si>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</si>
  <si>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</si>
  <si>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</si>
  <si>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</si>
  <si>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</si>
  <si>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</si>
  <si>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</si>
  <si>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</si>
  <si>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</si>
  <si>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</si>
  <si>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</si>
  <si>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</si>
  <si>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</si>
  <si>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</si>
  <si>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</si>
  <si>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</si>
  <si>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</si>
  <si>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</si>
  <si>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</si>
  <si>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</si>
  <si>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</si>
  <si>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</si>
  <si>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</si>
  <si>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</si>
  <si>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</si>
  <si>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</si>
  <si>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</si>
  <si>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</si>
  <si>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</si>
  <si>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</si>
  <si>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</si>
  <si>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</si>
  <si>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</si>
  <si>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</si>
  <si>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</si>
  <si>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</si>
  <si>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</si>
  <si>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</si>
  <si>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</si>
  <si>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</si>
  <si>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</si>
  <si>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</si>
  <si>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</si>
  <si>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</si>
  <si>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</si>
  <si>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</si>
  <si>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</si>
  <si>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</si>
  <si>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</si>
  <si>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</si>
  <si>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</si>
  <si>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</si>
  <si>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</si>
  <si>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</si>
  <si>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</si>
  <si>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</si>
  <si>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</si>
  <si>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</si>
  <si>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</si>
  <si>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</si>
  <si>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</si>
  <si>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</si>
  <si>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</si>
  <si>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</si>
  <si>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</si>
  <si>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</si>
  <si>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</si>
  <si>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</si>
  <si>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</si>
  <si>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</si>
  <si>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</si>
  <si>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</si>
  <si>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</si>
  <si>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</si>
  <si>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</si>
  <si>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</si>
  <si>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</si>
  <si>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</si>
  <si>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</si>
  <si>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</si>
  <si>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</si>
  <si>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</si>
  <si>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</si>
  <si>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</si>
  <si>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</si>
  <si>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</si>
  <si>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</si>
  <si>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</si>
  <si>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</si>
  <si>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</si>
  <si>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</si>
  <si>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</si>
  <si>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</si>
  <si>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</si>
  <si>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</si>
  <si>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</si>
  <si>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</si>
  <si>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</si>
  <si>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</si>
  <si>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</si>
  <si>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</si>
  <si>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</si>
  <si>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</si>
  <si>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</si>
  <si>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</si>
  <si>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</si>
  <si>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</si>
  <si>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</si>
  <si>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</si>
  <si>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</si>
  <si>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</si>
  <si>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</si>
  <si>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</si>
  <si>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</si>
  <si>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</si>
  <si>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</si>
  <si>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</si>
  <si>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</si>
  <si>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</si>
  <si>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</si>
  <si>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</si>
  <si>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</si>
  <si>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</si>
  <si>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</si>
  <si>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</si>
  <si>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</si>
  <si>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</si>
  <si>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</si>
  <si>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</si>
  <si>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</si>
  <si>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</si>
  <si>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</si>
  <si>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</si>
  <si>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</si>
  <si>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</si>
  <si>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</si>
  <si>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</si>
  <si>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</si>
  <si>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</si>
  <si>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</si>
  <si>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</si>
  <si>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</si>
  <si>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</si>
  <si>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</si>
  <si>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</si>
  <si>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</si>
  <si>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</si>
  <si>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</si>
  <si>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</si>
  <si>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</si>
  <si>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</si>
  <si>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</si>
  <si>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</si>
  <si>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</si>
  <si>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</si>
  <si>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</si>
  <si>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</si>
  <si>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</si>
  <si>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</si>
  <si>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</si>
  <si>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</si>
  <si>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</si>
  <si>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</si>
  <si>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</si>
  <si>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</si>
  <si>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</si>
  <si>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</si>
  <si>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</si>
  <si>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</si>
  <si>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</si>
  <si>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</si>
  <si>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</si>
  <si>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</si>
  <si>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</si>
  <si>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</si>
  <si>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</si>
  <si>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</si>
  <si>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</si>
  <si>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</si>
  <si>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</si>
  <si>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</si>
  <si>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</si>
  <si>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</si>
  <si>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</si>
  <si>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</si>
  <si>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</si>
  <si>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</si>
  <si>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</si>
  <si>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</si>
  <si>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</si>
  <si>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</si>
  <si>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</si>
  <si>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</si>
  <si>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</si>
  <si>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</si>
  <si>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</si>
  <si>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</si>
  <si>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</si>
  <si>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</si>
  <si>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</si>
  <si>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</si>
  <si>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</si>
  <si>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</si>
  <si>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</si>
  <si>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</si>
  <si>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</si>
  <si>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</si>
  <si>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</si>
  <si>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</si>
  <si>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</si>
  <si>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</si>
  <si>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</si>
  <si>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</si>
  <si>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</si>
  <si>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</si>
  <si>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</si>
  <si>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</si>
  <si>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</si>
  <si>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</si>
  <si>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</si>
  <si>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</si>
  <si>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</si>
  <si>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</si>
  <si>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</si>
  <si>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</si>
  <si>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</si>
  <si>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</si>
  <si>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</si>
  <si>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</si>
  <si>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</si>
  <si>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</si>
  <si>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</si>
  <si>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</si>
  <si>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</si>
  <si>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</si>
  <si>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</si>
  <si>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</si>
  <si>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</si>
  <si>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</si>
  <si>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</si>
  <si>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</si>
  <si>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</si>
  <si>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</si>
  <si>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</si>
  <si>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</si>
  <si>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</si>
  <si>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</si>
  <si>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</si>
  <si>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</si>
  <si>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</si>
  <si>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</si>
  <si>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</si>
  <si>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</si>
  <si>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</si>
  <si>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</si>
  <si>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</si>
  <si>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</si>
  <si>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</si>
  <si>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</si>
  <si>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</si>
  <si>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</si>
  <si>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</si>
  <si>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</si>
  <si>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</si>
  <si>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</si>
  <si>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</si>
  <si>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</si>
  <si>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</si>
  <si>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</si>
  <si>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</si>
  <si>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</si>
  <si>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</si>
  <si>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</si>
  <si>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</si>
  <si>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</si>
  <si>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</si>
  <si>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</si>
  <si>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</si>
  <si>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</si>
  <si>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</si>
  <si>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</si>
  <si>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</si>
  <si>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</si>
  <si>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</si>
  <si>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</si>
  <si>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</si>
  <si>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</si>
  <si>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</si>
  <si>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</si>
  <si>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</si>
  <si>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</si>
  <si>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</si>
  <si>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</si>
  <si>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</si>
  <si>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</si>
  <si>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</si>
  <si>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</si>
  <si>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</si>
  <si>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</si>
  <si>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</si>
  <si>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</si>
  <si>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</si>
  <si>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</si>
  <si>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</si>
  <si>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</si>
  <si>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</si>
  <si>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</si>
  <si>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</si>
  <si>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</si>
  <si>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</si>
  <si>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</si>
  <si>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</si>
  <si>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</si>
  <si>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</si>
  <si>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</si>
  <si>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</si>
  <si>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</si>
  <si>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</si>
  <si>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</si>
  <si>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</si>
  <si>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</si>
  <si>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</si>
  <si>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</si>
  <si>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</si>
  <si>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</si>
  <si>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</si>
  <si>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</si>
  <si>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</si>
  <si>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</si>
  <si>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</si>
  <si>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</si>
  <si>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</si>
  <si>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</si>
  <si>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</si>
  <si>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</si>
  <si>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</si>
  <si>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</si>
  <si>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</si>
  <si>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</si>
  <si>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</si>
  <si>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</si>
  <si>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</si>
  <si>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</si>
  <si>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</si>
  <si>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</si>
  <si>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</si>
  <si>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</si>
  <si>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</si>
  <si>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</si>
  <si>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</si>
  <si>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</si>
  <si>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</si>
  <si>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</si>
  <si>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</si>
  <si>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</si>
  <si>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</si>
  <si>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</si>
  <si>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</si>
  <si>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</si>
  <si>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</si>
  <si>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</si>
  <si>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</si>
  <si>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</si>
  <si>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</si>
  <si>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</si>
  <si>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</si>
  <si>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</si>
  <si>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</si>
  <si>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</si>
  <si>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</si>
  <si>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</si>
  <si>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</si>
  <si>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</si>
  <si>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</si>
  <si>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</si>
  <si>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</si>
  <si>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</si>
  <si>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</si>
  <si>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</si>
  <si>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</si>
  <si>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</si>
  <si>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</si>
  <si>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</si>
  <si>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</si>
  <si>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</si>
  <si>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</si>
  <si>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</si>
  <si>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</si>
  <si>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</si>
  <si>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</si>
  <si>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</si>
  <si>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</si>
  <si>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</si>
  <si>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</si>
  <si>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</si>
  <si>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</si>
  <si>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</si>
  <si>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</si>
  <si>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</si>
  <si>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</si>
  <si>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</si>
  <si>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</si>
  <si>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</si>
  <si>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</si>
  <si>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</si>
  <si>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</si>
  <si>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</si>
  <si>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</si>
  <si>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</si>
  <si>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</si>
  <si>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</si>
  <si>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</si>
  <si>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</si>
  <si>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</si>
  <si>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</si>
  <si>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</si>
  <si>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</si>
  <si>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</si>
  <si>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</si>
  <si>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</si>
  <si>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</si>
  <si>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</si>
  <si>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</si>
  <si>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</si>
  <si>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</si>
  <si>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</si>
  <si>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</si>
  <si>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</si>
  <si>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</si>
  <si>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</si>
  <si>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</si>
  <si>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</si>
  <si>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</si>
  <si>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</si>
  <si>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</si>
  <si>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</si>
  <si>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</si>
  <si>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</si>
  <si>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</si>
  <si>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</si>
  <si>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</si>
  <si>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</si>
  <si>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</si>
  <si>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</si>
  <si>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</si>
  <si>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</si>
  <si>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</si>
  <si>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</si>
  <si>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</si>
  <si>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</si>
  <si>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</si>
  <si>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</si>
  <si>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</si>
  <si>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</si>
  <si>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</si>
  <si>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</si>
  <si>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</si>
  <si>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</si>
  <si>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</si>
  <si>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</si>
  <si>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</si>
  <si>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</si>
  <si>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</si>
  <si>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</si>
  <si>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</si>
  <si>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</si>
  <si>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</si>
  <si>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</si>
  <si>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</si>
  <si>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</si>
  <si>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</si>
  <si>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</si>
  <si>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</si>
  <si>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</si>
  <si>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</si>
  <si>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</si>
  <si>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</si>
  <si>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</si>
  <si>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</si>
  <si>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</si>
  <si>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</si>
  <si>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</si>
  <si>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</si>
  <si>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</si>
  <si>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</si>
  <si>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</si>
  <si>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</si>
  <si>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</si>
  <si>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</si>
  <si>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</si>
  <si>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</si>
  <si>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</si>
  <si>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</si>
  <si>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</si>
  <si>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</si>
  <si>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</si>
  <si>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</si>
  <si>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</si>
  <si>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</si>
  <si>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</si>
  <si>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</si>
  <si>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</si>
  <si>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</si>
  <si>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</si>
  <si>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</si>
  <si>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</si>
  <si>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</si>
  <si>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</si>
  <si>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</si>
  <si>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</si>
  <si>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</si>
  <si>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</si>
  <si>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</si>
  <si>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</si>
  <si>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</si>
  <si>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</si>
  <si>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</si>
  <si>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</si>
  <si>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</si>
  <si>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</si>
  <si>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</si>
  <si>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</si>
  <si>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</si>
  <si>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</si>
  <si>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</si>
  <si>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</si>
  <si>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</si>
  <si>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</si>
  <si>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</si>
  <si>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</si>
  <si>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</si>
  <si>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</si>
  <si>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</si>
  <si>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</si>
  <si>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</si>
  <si>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</si>
  <si>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</si>
  <si>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</si>
  <si>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</si>
  <si>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</si>
  <si>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</si>
  <si>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</si>
  <si>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</si>
  <si>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</si>
  <si>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</si>
  <si>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</si>
  <si>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</si>
  <si>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</si>
  <si>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</si>
  <si>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</si>
  <si>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</si>
  <si>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</si>
  <si>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</si>
  <si>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</si>
  <si>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</si>
  <si>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</si>
  <si>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</si>
  <si>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</si>
  <si>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</si>
  <si>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</si>
  <si>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</si>
  <si>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</si>
  <si>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</si>
  <si>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</si>
  <si>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</si>
  <si>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</si>
  <si>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</si>
  <si>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</si>
  <si>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</si>
  <si>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</si>
  <si>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</si>
  <si>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</si>
  <si>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</si>
  <si>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</si>
  <si>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</si>
  <si>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</si>
  <si>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</si>
  <si>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</si>
  <si>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</si>
  <si>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</si>
  <si>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</si>
  <si>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</si>
  <si>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</si>
  <si>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</si>
  <si>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</si>
  <si>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</si>
  <si>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</si>
  <si>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</si>
  <si>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</si>
  <si>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</si>
  <si>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</si>
  <si>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</si>
  <si>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</si>
  <si>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</si>
  <si>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</si>
  <si>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</si>
  <si>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</si>
  <si>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</si>
  <si>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</si>
  <si>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</si>
  <si>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</si>
  <si>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</si>
  <si>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</si>
  <si>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</si>
  <si>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</si>
  <si>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</si>
  <si>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</si>
  <si>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</si>
  <si>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</si>
  <si>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</si>
  <si>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</si>
  <si>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</si>
  <si>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</si>
  <si>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</si>
  <si>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</si>
  <si>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</si>
  <si>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</si>
  <si>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</si>
  <si>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</si>
  <si>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</si>
  <si>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</si>
  <si>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</si>
  <si>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</si>
  <si>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</si>
  <si>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</si>
  <si>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</si>
  <si>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</si>
  <si>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</si>
  <si>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</si>
  <si>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</si>
  <si>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</si>
  <si>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</si>
  <si>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</si>
  <si>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</si>
  <si>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</si>
  <si>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</si>
  <si>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</si>
  <si>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</si>
  <si>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</si>
  <si>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</si>
  <si>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</si>
  <si>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</si>
  <si>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</si>
  <si>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</si>
  <si>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</si>
  <si>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</si>
  <si>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</si>
  <si>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</si>
  <si>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</si>
  <si>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</si>
  <si>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</si>
  <si>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</si>
  <si>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</si>
  <si>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</si>
  <si>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</si>
  <si>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</si>
  <si>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</si>
  <si>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</si>
  <si>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</si>
  <si>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</si>
  <si>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</si>
  <si>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</si>
  <si>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</si>
  <si>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</si>
  <si>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</si>
  <si>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</si>
  <si>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</si>
  <si>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</si>
  <si>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</si>
  <si>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</si>
  <si>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</si>
  <si>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</si>
  <si>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</si>
  <si>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</si>
  <si>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</si>
  <si>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</si>
  <si>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</si>
  <si>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</si>
  <si>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</si>
  <si>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</si>
  <si>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</si>
  <si>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</si>
  <si>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</si>
  <si>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</si>
  <si>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</si>
  <si>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</si>
  <si>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</si>
  <si>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</si>
  <si>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</si>
  <si>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</si>
  <si>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</si>
  <si>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</si>
  <si>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</si>
  <si>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</si>
  <si>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</si>
  <si>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</si>
  <si>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</si>
  <si>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</si>
  <si>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</si>
  <si>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</si>
  <si>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</si>
  <si>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</si>
  <si>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</si>
  <si>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</si>
  <si>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</si>
  <si>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</si>
  <si>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</si>
  <si>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</si>
  <si>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</si>
  <si>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</si>
  <si>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</si>
  <si>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</si>
  <si>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</si>
  <si>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</si>
  <si>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</si>
  <si>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</si>
  <si>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</si>
  <si>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</si>
  <si>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</si>
  <si>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</si>
  <si>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</si>
  <si>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</si>
  <si>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</si>
  <si>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</si>
  <si>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</si>
  <si>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</si>
  <si>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</si>
  <si>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</si>
  <si>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</si>
  <si>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</si>
  <si>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</si>
  <si>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</si>
  <si>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</si>
  <si>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</si>
  <si>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</si>
  <si>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</si>
  <si>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</si>
  <si>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</si>
  <si>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</si>
  <si>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</si>
  <si>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</si>
  <si>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</si>
  <si>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</si>
  <si>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</si>
  <si>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</si>
  <si>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</si>
  <si>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</si>
  <si>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</si>
  <si>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</si>
  <si>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</si>
  <si>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</si>
  <si>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</si>
  <si>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</si>
  <si>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</si>
  <si>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</si>
  <si>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</si>
  <si>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</si>
  <si>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</si>
  <si>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</si>
  <si>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</si>
  <si>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</si>
  <si>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</si>
  <si>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</si>
  <si>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</si>
  <si>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</si>
  <si>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</si>
  <si>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</si>
  <si>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</si>
  <si>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</si>
  <si>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</si>
  <si>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</si>
  <si>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</si>
  <si>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</si>
  <si>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</si>
  <si>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</si>
  <si>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</si>
  <si>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</si>
  <si>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</si>
  <si>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</si>
  <si>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</si>
  <si>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</si>
  <si>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</si>
  <si>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</si>
  <si>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</si>
  <si>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</si>
  <si>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</si>
  <si>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</si>
  <si>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</si>
  <si>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</si>
  <si>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</si>
  <si>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</si>
  <si>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</si>
  <si>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</si>
  <si>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</si>
  <si>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</si>
  <si>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</si>
  <si>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</si>
  <si>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</si>
  <si>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</si>
  <si>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</si>
  <si>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</si>
  <si>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</si>
  <si>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</si>
  <si>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</si>
  <si>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</si>
  <si>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</si>
  <si>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</si>
  <si>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</si>
  <si>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</si>
  <si>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</si>
  <si>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</si>
  <si>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</si>
  <si>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</si>
  <si>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</si>
  <si>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</si>
  <si>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</si>
  <si>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</si>
  <si>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</si>
  <si>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</si>
  <si>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</si>
  <si>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</si>
  <si>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</si>
  <si>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</si>
  <si>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</si>
  <si>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</si>
  <si>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</si>
  <si>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</si>
  <si>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</si>
  <si>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</si>
  <si>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</si>
  <si>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</si>
  <si>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</si>
  <si>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</si>
  <si>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</si>
  <si>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</si>
  <si>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</si>
  <si>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</si>
  <si>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</si>
  <si>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</si>
  <si>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</si>
  <si>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</si>
  <si>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</si>
  <si>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</si>
  <si>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</si>
  <si>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</si>
  <si>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</si>
  <si>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</si>
  <si>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</si>
  <si>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</si>
  <si>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</si>
  <si>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</si>
  <si>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</si>
  <si>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</si>
  <si>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</si>
  <si>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</si>
  <si>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</si>
  <si>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</si>
  <si>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</si>
  <si>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</si>
  <si>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</si>
  <si>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</si>
  <si>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</si>
  <si>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</si>
  <si>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</si>
  <si>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</si>
  <si>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</si>
  <si>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</si>
  <si>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</si>
  <si>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</si>
  <si>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</si>
  <si>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</si>
  <si>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</si>
  <si>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</si>
  <si>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</si>
  <si>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</si>
  <si>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</si>
  <si>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</si>
  <si>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</si>
  <si>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</si>
  <si>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</si>
  <si>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</si>
  <si>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</si>
  <si>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</si>
  <si>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</si>
  <si>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</si>
  <si>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</si>
  <si>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</si>
  <si>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</si>
  <si>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</si>
  <si>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</si>
  <si>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</si>
  <si>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</si>
  <si>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</si>
  <si>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</si>
  <si>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</si>
  <si>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</si>
  <si>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</si>
  <si>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</si>
  <si>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</si>
  <si>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</si>
  <si>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</si>
  <si>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</si>
  <si>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</si>
  <si>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</si>
  <si>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</si>
  <si>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</si>
  <si>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</si>
  <si>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</si>
  <si>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</si>
  <si>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</si>
  <si>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</si>
  <si>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</si>
  <si>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</si>
  <si>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</si>
  <si>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</si>
  <si>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</si>
  <si>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</si>
  <si>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</si>
  <si>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</si>
  <si>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</si>
  <si>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</si>
  <si>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</si>
  <si>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</si>
  <si>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</si>
  <si>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</si>
  <si>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</si>
  <si>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</si>
  <si>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</si>
  <si>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</si>
  <si>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</si>
  <si>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</si>
  <si>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</si>
  <si>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</si>
  <si>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</si>
  <si>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</si>
  <si>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</si>
  <si>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</si>
  <si>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</si>
  <si>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</si>
  <si>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</si>
  <si>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</si>
  <si>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</si>
  <si>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</si>
  <si>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</si>
  <si>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</si>
  <si>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</si>
  <si>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</si>
  <si>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</si>
  <si>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</si>
  <si>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</si>
  <si>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</si>
  <si>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</si>
  <si>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</si>
  <si>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</si>
  <si>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</si>
  <si>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</si>
  <si>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</si>
  <si>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</si>
  <si>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</si>
  <si>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</si>
  <si>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</si>
  <si>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</si>
  <si>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</si>
  <si>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</si>
  <si>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</si>
  <si>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</si>
  <si>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</si>
  <si>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</si>
  <si>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</si>
  <si>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</si>
  <si>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</si>
  <si>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</si>
  <si>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</si>
  <si>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</si>
  <si>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</si>
  <si>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</si>
  <si>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</si>
  <si>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</si>
  <si>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</si>
  <si>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</si>
  <si>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</si>
  <si>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</si>
  <si>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</si>
  <si>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</si>
  <si>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</si>
  <si>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</si>
  <si>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</si>
  <si>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</si>
  <si>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</si>
  <si>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</si>
  <si>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</si>
  <si>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</si>
  <si>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</si>
  <si>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</si>
  <si>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</si>
  <si>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</si>
  <si>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</si>
  <si>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</si>
  <si>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</si>
  <si>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</si>
  <si>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</si>
  <si>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</si>
  <si>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</si>
  <si>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</si>
  <si>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</si>
  <si>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</si>
  <si>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</si>
  <si>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</si>
  <si>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</si>
  <si>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</si>
  <si>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</si>
  <si>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</si>
  <si>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</si>
  <si>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</si>
  <si>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</si>
  <si>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</si>
  <si>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</si>
  <si>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</si>
  <si>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</si>
  <si>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</si>
  <si>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</si>
  <si>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</si>
  <si>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</si>
  <si>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</si>
  <si>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</si>
  <si>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</si>
  <si>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</si>
  <si>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</si>
  <si>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</si>
  <si>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</si>
  <si>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</si>
  <si>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</si>
  <si>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</si>
  <si>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</si>
  <si>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</si>
  <si>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</si>
  <si>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</si>
  <si>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</si>
  <si>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</si>
  <si>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</si>
  <si>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</si>
  <si>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</si>
  <si>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</si>
  <si>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</si>
  <si>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</si>
  <si>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</si>
  <si>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</si>
  <si>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</si>
  <si>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</si>
  <si>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</si>
  <si>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</si>
  <si>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</si>
  <si>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</si>
  <si>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</si>
  <si>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</si>
  <si>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</si>
  <si>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</si>
  <si>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</si>
  <si>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</si>
  <si>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</si>
  <si>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</si>
  <si>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</si>
  <si>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</si>
  <si>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</si>
  <si>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</si>
  <si>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</si>
  <si>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</si>
  <si>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</si>
  <si>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</si>
  <si>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</si>
  <si>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</si>
  <si>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</si>
  <si>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</si>
  <si>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</si>
  <si>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</si>
  <si>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</si>
  <si>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</si>
  <si>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</si>
  <si>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</si>
  <si>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</si>
  <si>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</si>
  <si>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</si>
  <si>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</si>
  <si>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</si>
  <si>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</si>
  <si>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</si>
  <si>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</si>
  <si>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</si>
  <si>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</si>
  <si>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</si>
  <si>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</si>
  <si>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</si>
  <si>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</si>
  <si>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</si>
  <si>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</si>
  <si>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</si>
  <si>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</si>
  <si>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</si>
  <si>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</si>
  <si>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</si>
  <si>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</si>
  <si>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</si>
  <si>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</si>
  <si>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</si>
  <si>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</si>
  <si>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</si>
  <si>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</si>
  <si>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</si>
  <si>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</si>
  <si>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</si>
  <si>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</si>
  <si>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</si>
  <si>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</si>
  <si>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</si>
  <si>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</si>
  <si>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</si>
  <si>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</si>
  <si>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</si>
  <si>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</si>
  <si>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</si>
  <si>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</si>
  <si>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</si>
  <si>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</si>
  <si>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</si>
  <si>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</si>
  <si>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</si>
  <si>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</si>
  <si>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</si>
  <si>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</si>
  <si>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</si>
  <si>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</si>
  <si>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</si>
  <si>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</si>
  <si>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</si>
  <si>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</si>
  <si>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</si>
  <si>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</si>
  <si>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</si>
  <si>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</si>
  <si>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</si>
  <si>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</si>
  <si>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</si>
  <si>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</si>
  <si>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</si>
  <si>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</si>
  <si>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</si>
  <si>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</si>
  <si>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</si>
  <si>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</si>
  <si>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</si>
  <si>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</si>
  <si>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</si>
  <si>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</si>
  <si>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</si>
  <si>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</si>
  <si>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</si>
  <si>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</si>
  <si>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</si>
  <si>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</si>
  <si>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</si>
  <si>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</si>
  <si>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</si>
  <si>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</si>
  <si>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</si>
  <si>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</si>
  <si>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</si>
  <si>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</si>
  <si>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</si>
  <si>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</si>
  <si>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</si>
  <si>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</si>
  <si>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</si>
  <si>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</si>
  <si>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</si>
  <si>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</si>
  <si>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</si>
  <si>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</si>
  <si>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</si>
  <si>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</si>
  <si>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</si>
  <si>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</si>
  <si>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</si>
  <si>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</si>
  <si>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</si>
  <si>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</si>
  <si>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</si>
  <si>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</si>
  <si>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</si>
  <si>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</si>
  <si>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</si>
  <si>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</si>
  <si>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</si>
  <si>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</si>
  <si>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</si>
  <si>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</si>
  <si>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</si>
  <si>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</si>
  <si>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</si>
  <si>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</si>
  <si>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</si>
  <si>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</si>
  <si>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</si>
  <si>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</si>
  <si>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</si>
  <si>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</si>
  <si>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</si>
  <si>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</si>
  <si>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</si>
  <si>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</si>
  <si>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</si>
  <si>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</si>
  <si>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</si>
  <si>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</si>
  <si>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</si>
  <si>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</si>
  <si>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</si>
  <si>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</si>
  <si>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</si>
  <si>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</si>
  <si>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</si>
  <si>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</si>
  <si>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</si>
  <si>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</si>
  <si>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</si>
  <si>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</si>
  <si>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</si>
  <si>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</si>
  <si>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</si>
  <si>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</si>
  <si>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</si>
  <si>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</si>
  <si>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</si>
  <si>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</si>
  <si>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</si>
  <si>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</si>
  <si>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</si>
  <si>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</si>
  <si>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</si>
  <si>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</si>
  <si>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</si>
  <si>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</si>
  <si>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</si>
  <si>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</si>
  <si>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</si>
  <si>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</si>
  <si>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</si>
  <si>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</si>
  <si>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</si>
  <si>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</si>
  <si>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</si>
  <si>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</si>
  <si>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</si>
  <si>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</si>
  <si>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</si>
  <si>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</si>
  <si>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</si>
  <si>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</si>
  <si>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</si>
  <si>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</si>
  <si>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</si>
  <si>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</si>
  <si>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</si>
  <si>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</si>
  <si>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</si>
  <si>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</si>
  <si>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</si>
  <si>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</si>
  <si>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</si>
  <si>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</si>
  <si>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</si>
  <si>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</si>
  <si>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</si>
  <si>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</si>
  <si>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</si>
  <si>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</si>
  <si>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</si>
  <si>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</si>
  <si>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</si>
  <si>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</si>
  <si>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</si>
  <si>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</si>
  <si>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</si>
  <si>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</si>
  <si>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</si>
  <si>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</si>
  <si>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</si>
  <si>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</si>
  <si>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</si>
  <si>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</si>
  <si>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</si>
  <si>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</si>
  <si>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</si>
  <si>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</si>
  <si>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</si>
  <si>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</si>
  <si>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</si>
  <si>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</si>
  <si>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</si>
  <si>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</si>
  <si>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</si>
  <si>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</si>
  <si>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</si>
  <si>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</si>
  <si>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</si>
  <si>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</si>
  <si>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</si>
  <si>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</si>
  <si>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</si>
  <si>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</si>
  <si>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</si>
  <si>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</si>
  <si>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</si>
  <si>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</si>
  <si>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</si>
  <si>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</si>
  <si>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</si>
  <si>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</si>
  <si>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</si>
  <si>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</si>
  <si>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</si>
  <si>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</si>
  <si>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</si>
  <si>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</si>
  <si>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</si>
  <si>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</si>
  <si>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</si>
  <si>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</si>
  <si>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</si>
  <si>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</si>
  <si>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</si>
  <si>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</si>
  <si>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</si>
  <si>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</si>
  <si>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</si>
  <si>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</si>
  <si>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</si>
  <si>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</si>
  <si>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</si>
  <si>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</si>
  <si>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</si>
  <si>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</si>
  <si>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</si>
  <si>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</si>
  <si>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</si>
  <si>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</si>
  <si>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</si>
  <si>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</si>
  <si>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</si>
  <si>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</si>
  <si>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</si>
  <si>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</si>
  <si>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</si>
  <si>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</si>
  <si>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</si>
  <si>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</si>
  <si>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</si>
  <si>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</si>
  <si>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</si>
  <si>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</si>
  <si>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</si>
  <si>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</si>
  <si>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</si>
  <si>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</si>
  <si>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</si>
  <si>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</si>
  <si>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</si>
  <si>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</si>
  <si>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</si>
  <si>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</si>
  <si>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</si>
  <si>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</si>
  <si>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</si>
  <si>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</si>
  <si>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</si>
  <si>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</si>
  <si>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</si>
  <si>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</si>
  <si>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</si>
  <si>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</si>
  <si>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</si>
  <si>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</si>
  <si>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</si>
  <si>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</si>
  <si>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</si>
  <si>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</si>
  <si>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</si>
  <si>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</si>
  <si>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</si>
  <si>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</si>
  <si>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</si>
  <si>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</si>
  <si>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</si>
  <si>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</si>
  <si>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</si>
  <si>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</si>
  <si>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</si>
  <si>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</si>
  <si>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</si>
  <si>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</si>
  <si>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</si>
  <si>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</si>
  <si>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</si>
  <si>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</si>
  <si>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</si>
  <si>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</si>
  <si>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</si>
  <si>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</si>
  <si>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</si>
  <si>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</si>
  <si>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</si>
  <si>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</si>
  <si>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</si>
  <si>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</si>
  <si>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</si>
  <si>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</si>
  <si>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</si>
  <si>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</si>
  <si>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</si>
  <si>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</si>
  <si>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</si>
  <si>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</si>
  <si>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</si>
  <si>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</si>
  <si>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</si>
  <si>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</si>
  <si>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</si>
  <si>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</si>
  <si>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</si>
  <si>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</si>
  <si>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</si>
  <si>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</si>
  <si>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</si>
  <si>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</si>
  <si>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</si>
  <si>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</si>
  <si>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</si>
  <si>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</si>
  <si>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</si>
  <si>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</si>
  <si>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</si>
  <si>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</si>
  <si>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</si>
  <si>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</si>
  <si>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</si>
  <si>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</si>
  <si>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</si>
  <si>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</si>
  <si>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</si>
  <si>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</si>
  <si>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</si>
  <si>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</si>
  <si>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</si>
  <si>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</si>
  <si>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</si>
  <si>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</si>
  <si>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</si>
  <si>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</si>
  <si>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</si>
  <si>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</si>
  <si>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</si>
  <si>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</si>
  <si>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</si>
  <si>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</si>
  <si>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</si>
  <si>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</si>
  <si>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</si>
  <si>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</si>
  <si>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</si>
  <si>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</si>
  <si>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</si>
  <si>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</si>
  <si>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</si>
  <si>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</si>
  <si>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</si>
  <si>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</si>
  <si>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</si>
  <si>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</si>
  <si>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</si>
  <si>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</si>
  <si>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</si>
  <si>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</si>
  <si>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</si>
  <si>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</si>
  <si>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</si>
  <si>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</si>
  <si>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</si>
  <si>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</si>
  <si>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</si>
  <si>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</si>
  <si>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</si>
  <si>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</si>
  <si>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</si>
  <si>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</si>
  <si>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</si>
  <si>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</si>
  <si>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</si>
  <si>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</si>
  <si>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</si>
  <si>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</si>
  <si>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</si>
  <si>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</si>
  <si>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</si>
  <si>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</si>
  <si>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</si>
  <si>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</si>
  <si>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</si>
  <si>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</si>
  <si>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</si>
  <si>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</si>
  <si>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</si>
  <si>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</si>
  <si>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</si>
  <si>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</si>
  <si>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</si>
  <si>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</si>
  <si>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</si>
  <si>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</si>
  <si>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</si>
  <si>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</si>
  <si>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</si>
  <si>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</si>
  <si>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</si>
  <si>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</si>
  <si>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</si>
  <si>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</si>
  <si>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</si>
  <si>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</si>
  <si>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</si>
  <si>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</si>
  <si>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</si>
  <si>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</si>
  <si>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</si>
  <si>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</si>
  <si>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</si>
  <si>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</si>
  <si>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</si>
  <si>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</si>
  <si>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</si>
  <si>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</si>
  <si>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</si>
  <si>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</si>
  <si>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</si>
  <si>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</si>
  <si>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</si>
  <si>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</si>
  <si>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</si>
  <si>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</si>
  <si>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</si>
  <si>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</si>
  <si>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</si>
  <si>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</si>
  <si>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</si>
  <si>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</si>
  <si>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</si>
  <si>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</si>
  <si>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</si>
  <si>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</si>
  <si>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</si>
  <si>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</si>
  <si>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</si>
  <si>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</si>
  <si>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</si>
  <si>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</si>
  <si>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</si>
  <si>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</si>
  <si>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</si>
  <si>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</si>
  <si>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</si>
  <si>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</si>
  <si>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</si>
  <si>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</si>
  <si>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</si>
  <si>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</si>
  <si>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</si>
  <si>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</si>
  <si>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</si>
  <si>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</si>
  <si>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</si>
  <si>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</si>
  <si>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</si>
  <si>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</si>
  <si>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</si>
  <si>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</si>
  <si>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</si>
  <si>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</si>
  <si>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</si>
  <si>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</si>
  <si>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</si>
  <si>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</si>
  <si>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</si>
  <si>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</si>
  <si>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</si>
  <si>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</si>
  <si>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</si>
  <si>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</si>
  <si>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</si>
  <si>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</si>
  <si>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</si>
  <si>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</si>
  <si>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</si>
  <si>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</si>
  <si>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</si>
  <si>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</si>
  <si>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</si>
  <si>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</si>
  <si>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</si>
  <si>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</si>
  <si>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</si>
  <si>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</si>
  <si>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</si>
  <si>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</si>
  <si>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</si>
  <si>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</si>
  <si>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</si>
  <si>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</si>
  <si>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</si>
  <si>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</si>
  <si>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</si>
  <si>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</si>
  <si>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</si>
  <si>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</si>
  <si>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</si>
  <si>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</si>
  <si>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</si>
  <si>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</si>
  <si>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</si>
  <si>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</si>
  <si>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</si>
  <si>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</si>
  <si>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</si>
  <si>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</si>
  <si>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</si>
  <si>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</si>
  <si>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</si>
  <si>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</si>
  <si>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</si>
  <si>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</si>
  <si>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</si>
  <si>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</si>
  <si>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</si>
  <si>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</si>
  <si>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</si>
  <si>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</si>
  <si>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</si>
  <si>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</si>
  <si>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</si>
  <si>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</si>
  <si>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</si>
  <si>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</si>
  <si>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</si>
  <si>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</si>
  <si>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</si>
  <si>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</si>
  <si>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</si>
  <si>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</si>
  <si>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</si>
  <si>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</si>
  <si>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</si>
  <si>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</si>
  <si>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</si>
  <si>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</si>
  <si>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</si>
  <si>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</si>
  <si>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</si>
  <si>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</si>
  <si>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</si>
  <si>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</si>
  <si>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</si>
  <si>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</si>
  <si>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</si>
  <si>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</si>
  <si>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</si>
  <si>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</si>
  <si>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</si>
  <si>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</si>
  <si>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</si>
  <si>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</si>
  <si>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</si>
  <si>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</si>
  <si>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</si>
  <si>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</si>
  <si>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</si>
  <si>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</si>
  <si>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</si>
  <si>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</si>
  <si>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</si>
  <si>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</si>
  <si>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</si>
  <si>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</si>
  <si>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</si>
  <si>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</si>
  <si>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</si>
  <si>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</si>
  <si>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</si>
  <si>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</si>
  <si>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</si>
  <si>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</si>
  <si>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</si>
  <si>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</si>
  <si>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</si>
  <si>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</si>
  <si>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</si>
  <si>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</si>
  <si>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</si>
  <si>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</si>
  <si>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</si>
  <si>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</si>
  <si>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</si>
  <si>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</si>
  <si>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</si>
  <si>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</si>
  <si>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</si>
  <si>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</si>
  <si>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</si>
  <si>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</si>
  <si>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</si>
  <si>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</si>
  <si>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</si>
  <si>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</si>
  <si>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</si>
  <si>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</si>
  <si>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</si>
  <si>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</si>
  <si>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</si>
  <si>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</si>
  <si>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</si>
  <si>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</si>
  <si>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</si>
  <si>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</si>
  <si>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</si>
  <si>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</si>
  <si>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</si>
  <si>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</si>
  <si>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</si>
  <si>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</si>
  <si>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</si>
  <si>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</si>
  <si>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</si>
  <si>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</si>
  <si>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</si>
  <si>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</si>
  <si>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</si>
  <si>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</si>
  <si>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</si>
  <si>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</si>
  <si>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</si>
  <si>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</si>
  <si>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</si>
  <si>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</si>
  <si>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</si>
  <si>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</si>
  <si>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</si>
  <si>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</si>
  <si>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</si>
  <si>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</si>
  <si>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</si>
  <si>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</si>
  <si>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</si>
  <si>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</si>
  <si>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</si>
  <si>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</si>
  <si>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</si>
  <si>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</si>
  <si>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</si>
  <si>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</si>
  <si>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</si>
  <si>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</si>
  <si>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</si>
  <si>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</si>
  <si>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</si>
  <si>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</si>
  <si>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</si>
  <si>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</si>
  <si>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</si>
  <si>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</si>
  <si>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</si>
  <si>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</si>
  <si>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</si>
  <si>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</si>
  <si>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</si>
  <si>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</si>
  <si>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</si>
  <si>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</si>
  <si>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</si>
  <si>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</si>
  <si>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</si>
  <si>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</si>
  <si>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</si>
  <si>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</si>
  <si>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</si>
  <si>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</si>
  <si>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</si>
  <si>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</si>
  <si>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</si>
  <si>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</si>
  <si>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</si>
  <si>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</si>
  <si>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</si>
  <si>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</si>
  <si>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</si>
  <si>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</si>
  <si>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</si>
  <si>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</si>
  <si>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</si>
  <si>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</si>
  <si>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</si>
  <si>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</si>
  <si>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</si>
  <si>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</si>
  <si>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</si>
  <si>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</si>
  <si>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</si>
  <si>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</si>
  <si>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</si>
  <si>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</si>
  <si>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</si>
  <si>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</si>
  <si>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</si>
  <si>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</si>
  <si>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</si>
  <si>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</si>
  <si>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</si>
  <si>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</si>
  <si>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</si>
  <si>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</si>
  <si>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</si>
  <si>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</si>
  <si>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</si>
  <si>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</si>
  <si>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</si>
  <si>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</si>
  <si>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</si>
  <si>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</si>
  <si>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</si>
  <si>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</si>
  <si>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</si>
  <si>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</si>
  <si>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</si>
  <si>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</si>
  <si>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</si>
  <si>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</si>
  <si>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</si>
  <si>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</si>
  <si>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</si>
  <si>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</si>
  <si>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</si>
  <si>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</si>
  <si>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</si>
  <si>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</si>
  <si>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</si>
  <si>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</si>
  <si>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</si>
  <si>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</si>
  <si>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</si>
  <si>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</si>
  <si>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</si>
  <si>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</si>
  <si>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</si>
  <si>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</si>
  <si>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</si>
  <si>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</si>
  <si>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</si>
  <si>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</si>
  <si>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</si>
  <si>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</si>
  <si>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</si>
  <si>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</si>
  <si>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</si>
  <si>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</si>
  <si>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</si>
  <si>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</si>
  <si>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</si>
  <si>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</si>
  <si>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</si>
  <si>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</si>
  <si>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</si>
  <si>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</si>
  <si>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</si>
  <si>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</si>
  <si>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</si>
  <si>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</si>
  <si>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</si>
  <si>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</si>
  <si>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</si>
  <si>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</si>
  <si>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</si>
  <si>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</si>
  <si>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</si>
  <si>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</si>
  <si>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</si>
  <si>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</si>
  <si>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</si>
  <si>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</si>
  <si>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</si>
  <si>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</si>
  <si>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</si>
  <si>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</si>
  <si>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</si>
  <si>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</si>
  <si>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</si>
  <si>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</si>
  <si>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</si>
  <si>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</si>
  <si>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</si>
  <si>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</si>
  <si>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</si>
  <si>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</si>
  <si>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</si>
  <si>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</si>
  <si>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</si>
  <si>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</si>
  <si>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</si>
  <si>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</si>
  <si>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</si>
  <si>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</si>
  <si>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</si>
  <si>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</si>
  <si>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</si>
  <si>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</si>
  <si>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</si>
  <si>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</si>
  <si>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</si>
  <si>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</si>
  <si>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</si>
  <si>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</si>
  <si>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</si>
  <si>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</si>
  <si>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</si>
  <si>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</si>
  <si>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</si>
  <si>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</si>
  <si>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</si>
  <si>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</si>
  <si>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</si>
  <si>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</si>
  <si>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</si>
  <si>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</si>
  <si>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</si>
  <si>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</si>
  <si>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</si>
  <si>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</si>
  <si>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</si>
  <si>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</si>
  <si>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</si>
  <si>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</si>
  <si>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</si>
  <si>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</si>
  <si>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</si>
  <si>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</si>
  <si>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</si>
  <si>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</si>
  <si>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</si>
  <si>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</si>
  <si>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</si>
  <si>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</si>
  <si>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</si>
  <si>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</si>
  <si>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</si>
  <si>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</si>
  <si>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</si>
  <si>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</si>
  <si>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</si>
  <si>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</si>
  <si>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</si>
  <si>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</si>
  <si>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</si>
  <si>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</si>
  <si>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</si>
  <si>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</si>
  <si>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</si>
  <si>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</si>
  <si>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</si>
  <si>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</si>
  <si>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</si>
  <si>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</si>
  <si>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</si>
  <si>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</si>
  <si>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</si>
  <si>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</si>
  <si>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</si>
  <si>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</si>
  <si>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</si>
  <si>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</si>
  <si>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</si>
  <si>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</si>
  <si>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</si>
  <si>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</si>
  <si>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</si>
  <si>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</si>
  <si>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</si>
  <si>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</si>
  <si>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</si>
  <si>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</si>
  <si>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</si>
  <si>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</si>
  <si>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</si>
  <si>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</si>
  <si>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</si>
  <si>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</si>
  <si>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</si>
  <si>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</si>
  <si>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</si>
  <si>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</si>
  <si>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</si>
  <si>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</si>
  <si>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</si>
  <si>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</si>
  <si>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</si>
  <si>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</si>
  <si>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</si>
  <si>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</si>
  <si>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</si>
  <si>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</si>
  <si>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</si>
  <si>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</si>
  <si>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</si>
  <si>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</si>
  <si>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</si>
  <si>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</si>
  <si>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</si>
  <si>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</si>
  <si>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</si>
  <si>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</si>
  <si>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</si>
  <si>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</si>
  <si>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</si>
  <si>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</si>
  <si>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</si>
  <si>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</si>
  <si>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</si>
  <si>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</si>
  <si>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</si>
  <si>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</si>
  <si>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</si>
  <si>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</si>
  <si>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</si>
  <si>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</si>
  <si>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</si>
  <si>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</si>
  <si>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</si>
  <si>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</si>
  <si>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</si>
  <si>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</si>
  <si>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</si>
  <si>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</si>
  <si>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</si>
  <si>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</si>
  <si>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</si>
  <si>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</si>
  <si>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</si>
  <si>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</si>
  <si>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</si>
  <si>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</si>
  <si>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</si>
  <si>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</si>
  <si>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</si>
  <si>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</si>
  <si>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</si>
  <si>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</si>
  <si>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</si>
  <si>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</si>
  <si>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</si>
  <si>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</si>
  <si>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</si>
  <si>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</si>
  <si>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</si>
  <si>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</si>
  <si>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</si>
  <si>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</si>
  <si>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</si>
  <si>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</si>
  <si>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</si>
  <si>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</si>
  <si>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</si>
  <si>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</si>
  <si>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</si>
  <si>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</si>
  <si>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</si>
  <si>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</si>
  <si>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</si>
  <si>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</si>
  <si>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</si>
  <si>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</si>
  <si>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</si>
  <si>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</si>
  <si>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</si>
  <si>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</si>
  <si>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</si>
  <si>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</si>
  <si>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</si>
  <si>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</si>
  <si>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</si>
  <si>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</si>
  <si>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</si>
  <si>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</si>
  <si>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</si>
  <si>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</si>
  <si>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</si>
  <si>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</si>
  <si>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</si>
  <si>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</si>
  <si>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</si>
  <si>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</si>
  <si>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</si>
  <si>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</si>
  <si>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</si>
  <si>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</si>
  <si>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</si>
  <si>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</si>
  <si>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</si>
  <si>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</si>
  <si>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</si>
  <si>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</si>
  <si>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</si>
  <si>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</si>
  <si>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</si>
  <si>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</si>
  <si>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</si>
  <si>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</si>
  <si>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</si>
  <si>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</si>
  <si>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</si>
  <si>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</si>
  <si>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</si>
  <si>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</si>
  <si>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</si>
  <si>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</si>
  <si>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</si>
  <si>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</si>
  <si>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</si>
  <si>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</si>
  <si>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</si>
  <si>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</si>
  <si>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</si>
  <si>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</si>
  <si>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</si>
  <si>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</si>
  <si>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</si>
  <si>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</si>
  <si>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</si>
  <si>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</si>
  <si>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</si>
  <si>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</si>
  <si>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</si>
  <si>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</si>
  <si>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</si>
  <si>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</si>
  <si>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</si>
  <si>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</si>
  <si>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</si>
  <si>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</si>
  <si>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</si>
  <si>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</si>
  <si>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</si>
  <si>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</si>
  <si>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</si>
  <si>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</si>
  <si>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</si>
  <si>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</si>
  <si>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</si>
  <si>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</si>
  <si>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</si>
  <si>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</si>
  <si>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</si>
  <si>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</si>
  <si>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</si>
  <si>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</si>
  <si>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</si>
  <si>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</si>
  <si>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</si>
  <si>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</si>
  <si>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</si>
  <si>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</si>
  <si>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</si>
  <si>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</si>
  <si>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</si>
  <si>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</si>
  <si>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</si>
  <si>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</si>
  <si>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</si>
  <si>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</si>
  <si>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</si>
  <si>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</si>
  <si>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</si>
  <si>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</si>
  <si>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</si>
  <si>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</si>
  <si>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</si>
  <si>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</si>
  <si>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</si>
  <si>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</si>
  <si>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</si>
  <si>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</si>
  <si>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</si>
  <si>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</si>
  <si>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</si>
  <si>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</si>
  <si>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</si>
  <si>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</si>
  <si>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</si>
  <si>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</si>
  <si>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</si>
  <si>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</si>
  <si>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</si>
  <si>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</si>
  <si>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</si>
  <si>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</si>
  <si>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</si>
  <si>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</si>
  <si>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</si>
  <si>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</si>
  <si>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</si>
  <si>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</si>
  <si>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</si>
  <si>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</si>
  <si>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</si>
  <si>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</si>
  <si>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</si>
  <si>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</si>
  <si>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</si>
  <si>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</si>
  <si>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</si>
  <si>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</si>
  <si>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</si>
  <si>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</si>
  <si>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</si>
  <si>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</si>
  <si>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</si>
  <si>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</si>
  <si>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</si>
  <si>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</si>
  <si>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</si>
  <si>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</si>
  <si>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</si>
  <si>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</si>
  <si>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</si>
  <si>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</si>
  <si>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</si>
  <si>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</si>
  <si>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</si>
  <si>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</si>
  <si>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</si>
  <si>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</si>
  <si>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</si>
  <si>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</si>
  <si>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</si>
  <si>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</si>
  <si>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</si>
  <si>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</si>
  <si>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</si>
  <si>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</si>
  <si>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</si>
  <si>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</si>
  <si>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</si>
  <si>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</si>
  <si>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</si>
  <si>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</si>
  <si>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</si>
  <si>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</si>
  <si>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</si>
  <si>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</si>
  <si>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</si>
  <si>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</si>
  <si>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</si>
  <si>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</si>
  <si>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</si>
  <si>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</si>
  <si>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</si>
  <si>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</si>
  <si>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</si>
  <si>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</si>
  <si>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</si>
  <si>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</si>
  <si>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</si>
  <si>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</si>
  <si>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</si>
  <si>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</si>
  <si>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</si>
  <si>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</si>
  <si>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</si>
  <si>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</si>
  <si>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</si>
  <si>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</si>
  <si>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</si>
  <si>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</si>
  <si>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</si>
  <si>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</si>
  <si>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</si>
  <si>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</si>
  <si>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</si>
  <si>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</si>
  <si>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</si>
  <si>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</si>
  <si>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</si>
  <si>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</si>
  <si>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</si>
  <si>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</si>
  <si>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</si>
  <si>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</si>
  <si>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</si>
  <si>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</si>
  <si>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</si>
  <si>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</si>
  <si>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</si>
  <si>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</si>
  <si>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</si>
  <si>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</si>
  <si>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</si>
  <si>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</si>
  <si>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</si>
  <si>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</si>
  <si>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</si>
  <si>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</si>
  <si>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</si>
  <si>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</si>
  <si>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</si>
  <si>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</si>
  <si>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</si>
  <si>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</si>
  <si>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</si>
  <si>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</si>
  <si>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</si>
  <si>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</si>
  <si>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</si>
  <si>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</si>
  <si>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</si>
  <si>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</si>
  <si>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</si>
  <si>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</si>
  <si>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</si>
  <si>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</si>
  <si>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</si>
  <si>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</si>
  <si>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</si>
  <si>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</si>
  <si>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</si>
  <si>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</si>
  <si>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</si>
  <si>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</si>
  <si>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</si>
  <si>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</si>
  <si>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</si>
  <si>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</si>
  <si>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</si>
  <si>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</si>
  <si>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</si>
  <si>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</si>
  <si>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</si>
  <si>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</si>
  <si>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</si>
  <si>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</si>
  <si>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</si>
  <si>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</si>
  <si>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</si>
  <si>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</si>
  <si>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</si>
  <si>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</si>
  <si>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</si>
  <si>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</si>
  <si>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</si>
  <si>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</si>
  <si>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</si>
  <si>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</si>
  <si>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</si>
  <si>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</si>
  <si>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</si>
  <si>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</si>
  <si>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</si>
  <si>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</si>
  <si>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</si>
  <si>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</si>
  <si>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</si>
  <si>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</si>
  <si>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</si>
  <si>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</si>
  <si>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</si>
  <si>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</si>
  <si>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</si>
  <si>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</si>
  <si>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</si>
  <si>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</si>
  <si>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</si>
  <si>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</si>
  <si>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</si>
  <si>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</si>
  <si>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</si>
  <si>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</si>
  <si>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</si>
  <si>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</si>
  <si>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</si>
  <si>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</si>
  <si>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</si>
  <si>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</si>
  <si>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</si>
  <si>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</si>
  <si>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</si>
  <si>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</si>
  <si>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</si>
  <si>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</si>
  <si>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</si>
  <si>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</si>
  <si>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</si>
  <si>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</si>
  <si>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</si>
  <si>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</si>
  <si>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</si>
  <si>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</si>
  <si>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</si>
  <si>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</si>
  <si>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</si>
  <si>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</si>
  <si>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</si>
  <si>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</si>
  <si>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</si>
  <si>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</si>
  <si>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</si>
  <si>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</si>
  <si>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</si>
  <si>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</si>
  <si>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</si>
  <si>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</si>
  <si>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</si>
  <si>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</si>
  <si>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</si>
  <si>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</si>
  <si>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</si>
  <si>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</si>
  <si>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</si>
  <si>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</si>
  <si>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</si>
  <si>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</si>
  <si>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</si>
  <si>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</si>
  <si>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</si>
  <si>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</si>
  <si>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</si>
  <si>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</si>
  <si>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</si>
  <si>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</si>
  <si>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</si>
  <si>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</si>
  <si>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</si>
  <si>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</si>
  <si>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</si>
  <si>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</si>
  <si>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</si>
  <si>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</si>
  <si>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</si>
  <si>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</si>
  <si>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</si>
  <si>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</si>
  <si>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</si>
  <si>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</si>
  <si>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</si>
  <si>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</si>
  <si>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</si>
  <si>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</si>
  <si>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</si>
  <si>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</si>
  <si>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</si>
  <si>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</si>
  <si>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</si>
  <si>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</si>
  <si>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</si>
  <si>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</si>
  <si>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</si>
  <si>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</si>
  <si>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</si>
  <si>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</si>
  <si>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</si>
  <si>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</si>
  <si>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</si>
  <si>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</si>
  <si>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</si>
  <si>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</si>
  <si>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</si>
  <si>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</si>
  <si>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</si>
  <si>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</si>
  <si>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</si>
  <si>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</si>
  <si>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</si>
  <si>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</si>
  <si>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</si>
  <si>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</si>
  <si>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</si>
  <si>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</si>
  <si>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</si>
  <si>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</si>
  <si>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</si>
  <si>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</si>
  <si>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</si>
  <si>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</si>
  <si>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</si>
  <si>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</si>
  <si>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</si>
  <si>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</si>
  <si>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</si>
  <si>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</si>
  <si>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</si>
  <si>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</si>
  <si>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</si>
  <si>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</si>
  <si>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</si>
  <si>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</si>
  <si>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</si>
  <si>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</si>
  <si>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</si>
  <si>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</si>
  <si>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</si>
  <si>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</si>
  <si>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</si>
  <si>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</si>
  <si>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</si>
  <si>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</si>
  <si>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</si>
  <si>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</si>
  <si>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</si>
  <si>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</si>
  <si>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</si>
  <si>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</si>
  <si>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</si>
  <si>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</si>
  <si>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</si>
  <si>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</si>
  <si>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</si>
  <si>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</si>
  <si>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</si>
  <si>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</si>
  <si>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</si>
  <si>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</si>
  <si>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</si>
  <si>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</si>
  <si>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</si>
  <si>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</si>
  <si>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</si>
  <si>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</si>
  <si>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</si>
  <si>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</si>
  <si>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</si>
  <si>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</si>
  <si>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</si>
  <si>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</si>
  <si>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</si>
  <si>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</si>
  <si>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</si>
  <si>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</si>
  <si>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</si>
  <si>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</si>
  <si>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</si>
  <si>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</si>
  <si>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</si>
  <si>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</si>
  <si>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</si>
  <si>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</si>
  <si>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</si>
  <si>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</si>
  <si>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</si>
  <si>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</si>
  <si>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</si>
  <si>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</si>
  <si>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</si>
  <si>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</si>
  <si>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</si>
  <si>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</si>
  <si>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</si>
  <si>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</si>
  <si>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</si>
  <si>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</si>
  <si>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</si>
  <si>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</si>
  <si>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</si>
  <si>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</si>
  <si>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</si>
  <si>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</si>
  <si>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</si>
  <si>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</si>
  <si>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</si>
  <si>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</si>
  <si>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</si>
  <si>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</si>
  <si>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</si>
  <si>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</si>
  <si>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</si>
  <si>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</si>
  <si>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</si>
  <si>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</si>
  <si>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</si>
  <si>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</si>
  <si>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</si>
  <si>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</si>
  <si>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</si>
  <si>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</si>
  <si>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</si>
  <si>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</si>
  <si>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</si>
  <si>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</si>
  <si>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</si>
  <si>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</si>
  <si>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</si>
  <si>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</si>
  <si>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</si>
  <si>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</si>
  <si>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</si>
  <si>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</si>
  <si>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</si>
  <si>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</si>
  <si>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</si>
  <si>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</si>
  <si>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</si>
  <si>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</si>
  <si>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</si>
  <si>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</si>
  <si>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</si>
  <si>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</si>
  <si>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</si>
  <si>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</si>
  <si>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</si>
  <si>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</si>
  <si>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</si>
  <si>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</si>
  <si>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</si>
  <si>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</si>
  <si>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</si>
  <si>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</si>
  <si>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</si>
  <si>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</si>
  <si>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</si>
  <si>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</si>
  <si>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</si>
  <si>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</si>
  <si>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</si>
  <si>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</si>
  <si>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</si>
  <si>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</si>
  <si>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</si>
  <si>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</si>
  <si>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</si>
  <si>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</si>
  <si>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</si>
  <si>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</si>
  <si>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</si>
  <si>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</si>
  <si>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</si>
  <si>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</si>
  <si>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</si>
  <si>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</si>
  <si>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</si>
  <si>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</si>
  <si>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</si>
  <si>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</si>
  <si>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</si>
  <si>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</si>
  <si>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</si>
  <si>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</si>
  <si>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</si>
  <si>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</si>
  <si>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</si>
  <si>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</si>
  <si>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</si>
  <si>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</si>
  <si>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</si>
  <si>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</si>
  <si>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</si>
  <si>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</si>
  <si>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</si>
  <si>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</si>
  <si>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</si>
  <si>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</si>
  <si>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</si>
  <si>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</si>
  <si>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</si>
  <si>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</si>
  <si>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</si>
  <si>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</si>
  <si>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</si>
  <si>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</si>
  <si>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</si>
  <si>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</si>
  <si>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</si>
  <si>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</si>
  <si>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</si>
  <si>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</si>
  <si>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</si>
  <si>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</si>
  <si>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</si>
  <si>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</si>
  <si>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</si>
  <si>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</si>
  <si>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</si>
  <si>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</si>
  <si>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</si>
  <si>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</si>
  <si>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</si>
  <si>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</si>
  <si>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</si>
  <si>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</si>
  <si>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</si>
  <si>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</si>
  <si>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</si>
  <si>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</si>
  <si>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</si>
  <si>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</si>
  <si>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</si>
  <si>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</si>
  <si>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</si>
  <si>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</si>
  <si>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</si>
  <si>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</si>
  <si>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</si>
  <si>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</si>
  <si>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</si>
  <si>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</si>
  <si>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</si>
  <si>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</si>
  <si>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</si>
  <si>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</si>
  <si>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</si>
  <si>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</si>
  <si>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</si>
  <si>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</si>
  <si>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</si>
  <si>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</si>
  <si>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</si>
  <si>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</si>
  <si>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</si>
  <si>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</si>
  <si>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</si>
  <si>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</si>
  <si>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</si>
  <si>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</si>
  <si>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</si>
  <si>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</si>
  <si>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</si>
  <si>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</si>
  <si>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</si>
  <si>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</si>
  <si>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</si>
  <si>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</si>
  <si>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</si>
  <si>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</si>
  <si>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</si>
  <si>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</si>
  <si>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</si>
  <si>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</si>
  <si>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</si>
  <si>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</si>
  <si>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</si>
  <si>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</si>
  <si>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</si>
  <si>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</si>
  <si>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</si>
  <si>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</si>
  <si>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</si>
  <si>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</si>
  <si>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</si>
  <si>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</si>
  <si>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</si>
  <si>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</si>
  <si>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</si>
  <si>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</si>
  <si>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</si>
  <si>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</si>
  <si>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</si>
  <si>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</si>
  <si>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</si>
  <si>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</si>
  <si>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</si>
  <si>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</si>
  <si>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</si>
  <si>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</si>
  <si>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</si>
  <si>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</si>
  <si>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</si>
  <si>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</si>
  <si>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</si>
  <si>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</si>
  <si>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</si>
  <si>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</si>
  <si>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</si>
  <si>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</si>
  <si>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</si>
  <si>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</si>
  <si>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</si>
  <si>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</si>
  <si>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</si>
  <si>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</si>
  <si>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</si>
  <si>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</si>
  <si>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</si>
  <si>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</si>
  <si>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</si>
  <si>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</si>
  <si>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</si>
  <si>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</si>
  <si>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</si>
  <si>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</si>
  <si>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</si>
  <si>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</si>
  <si>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</si>
  <si>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</si>
  <si>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</si>
  <si>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</si>
  <si>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</si>
  <si>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</si>
  <si>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</si>
  <si>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</si>
  <si>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</si>
  <si>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</si>
  <si>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</si>
  <si>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</si>
  <si>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</si>
  <si>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</si>
  <si>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</si>
  <si>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</si>
  <si>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</si>
  <si>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</si>
  <si>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</si>
  <si>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</si>
  <si>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</si>
  <si>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</si>
  <si>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</si>
  <si>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</si>
  <si>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</si>
  <si>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</si>
  <si>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</si>
  <si>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</si>
  <si>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</si>
  <si>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</si>
  <si>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</si>
  <si>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</si>
  <si>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</si>
  <si>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</si>
  <si>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</si>
  <si>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</si>
  <si>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</si>
  <si>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</si>
  <si>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</si>
  <si>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</si>
  <si>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</si>
  <si>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</si>
  <si>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</si>
  <si>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</si>
  <si>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</si>
  <si>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</si>
  <si>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</si>
  <si>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</si>
  <si>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</si>
  <si>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</si>
  <si>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</si>
  <si>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</si>
  <si>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</si>
  <si>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</si>
  <si>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</si>
  <si>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</si>
  <si>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</si>
  <si>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</si>
  <si>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</si>
  <si>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</si>
  <si>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</si>
  <si>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</si>
  <si>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</si>
  <si>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</si>
  <si>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</si>
  <si>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</si>
  <si>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</si>
  <si>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</si>
  <si>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</si>
  <si>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</si>
  <si>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</si>
  <si>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</si>
  <si>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</si>
  <si>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</si>
  <si>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</si>
  <si>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</si>
  <si>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</si>
  <si>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</si>
  <si>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</si>
  <si>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</si>
  <si>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</si>
  <si>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</si>
  <si>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</si>
  <si>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</si>
  <si>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</si>
  <si>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</si>
  <si>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</si>
  <si>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</si>
  <si>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</si>
  <si>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</si>
  <si>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</si>
  <si>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</si>
  <si>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</si>
  <si>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</si>
  <si>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</si>
  <si>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</si>
  <si>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</si>
  <si>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</si>
  <si>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</si>
  <si>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</si>
  <si>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</si>
  <si>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</si>
  <si>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</si>
  <si>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</si>
  <si>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</si>
  <si>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</si>
  <si>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</si>
  <si>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</si>
  <si>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</si>
  <si>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</si>
  <si>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</si>
  <si>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</si>
  <si>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</si>
  <si>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</si>
  <si>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</si>
  <si>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</si>
  <si>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</si>
  <si>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</si>
  <si>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</si>
  <si>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</si>
  <si>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</si>
  <si>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</si>
  <si>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</si>
  <si>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</si>
  <si>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</si>
  <si>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</si>
  <si>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</si>
  <si>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</si>
  <si>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</si>
  <si>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</si>
  <si>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</si>
  <si>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</si>
  <si>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</si>
  <si>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</si>
  <si>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</si>
  <si>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</si>
  <si>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</si>
  <si>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</si>
  <si>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</si>
  <si>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</si>
  <si>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</si>
  <si>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</si>
  <si>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</si>
  <si>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</si>
  <si>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</si>
  <si>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</si>
  <si>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</si>
  <si>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</si>
  <si>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</si>
  <si>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</si>
  <si>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</si>
  <si>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</si>
  <si>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</si>
  <si>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</si>
  <si>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</si>
  <si>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</si>
  <si>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</si>
  <si>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</si>
  <si>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</si>
  <si>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</si>
  <si>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自然人</t>
  </si>
  <si>
    <t>地上</t>
  </si>
  <si>
    <t>住宅</t>
  </si>
  <si>
    <t>是</t>
  </si>
  <si>
    <t>住宅</t>
    <phoneticPr fontId="7" type="noConversion"/>
  </si>
  <si>
    <t>利息：取LPR加浮动点数</t>
  </si>
  <si>
    <t>成新度</t>
  </si>
  <si>
    <t>收益法 (元)</t>
  </si>
  <si>
    <t>押一</t>
  </si>
  <si>
    <t>钢混</t>
  </si>
  <si>
    <t>非生产用房</t>
  </si>
  <si>
    <t>单套模式</t>
  </si>
  <si>
    <t>售价</t>
  </si>
  <si>
    <t>正常</t>
  </si>
  <si>
    <t>南</t>
  </si>
  <si>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</si>
  <si>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</si>
  <si>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</si>
  <si>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</si>
  <si>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</si>
  <si>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</si>
  <si>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</si>
  <si>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</si>
  <si>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</si>
  <si>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</si>
  <si>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</si>
  <si>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</si>
  <si>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砖混</t>
  </si>
  <si>
    <t>混合</t>
  </si>
  <si>
    <t>框架</t>
  </si>
  <si>
    <t>较好</t>
  </si>
  <si>
    <t>精装修</t>
  </si>
  <si>
    <t>普通装修</t>
  </si>
  <si>
    <t>简单装修</t>
    <phoneticPr fontId="3" type="noConversion"/>
  </si>
  <si>
    <t>毛坯</t>
  </si>
  <si>
    <t>专业</t>
  </si>
  <si>
    <t>普通</t>
  </si>
  <si>
    <t>单位自管</t>
  </si>
  <si>
    <t>居委会</t>
  </si>
  <si>
    <t>七通</t>
  </si>
  <si>
    <t>六通</t>
  </si>
  <si>
    <t>五通</t>
  </si>
  <si>
    <t>四通</t>
  </si>
  <si>
    <t>三通</t>
  </si>
  <si>
    <t>复式</t>
  </si>
  <si>
    <t>平层</t>
  </si>
  <si>
    <t>建成年代</t>
    <phoneticPr fontId="24" type="noConversion"/>
  </si>
  <si>
    <t>楼层</t>
    <phoneticPr fontId="24" type="noConversion"/>
  </si>
  <si>
    <t>住宅</t>
    <phoneticPr fontId="24"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</si>
  <si>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</si>
  <si>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</si>
  <si>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</si>
  <si>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</si>
  <si>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</si>
  <si>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</si>
  <si>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</si>
  <si>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城市次干道</t>
    <phoneticPr fontId="24" type="noConversion"/>
  </si>
  <si>
    <t>一般</t>
  </si>
  <si>
    <r>
      <rPr>
        <sz val="11"/>
        <rFont val="宋体"/>
        <family val="3"/>
        <charset val="134"/>
      </rPr>
      <t>中楼层</t>
    </r>
    <r>
      <rPr>
        <sz val="11"/>
        <rFont val="Arial"/>
        <family val="2"/>
      </rPr>
      <t>/11</t>
    </r>
    <phoneticPr fontId="24" type="noConversion"/>
  </si>
  <si>
    <t>现房</t>
  </si>
  <si>
    <t>比较法-住宅</t>
  </si>
  <si>
    <t>序号</t>
    <phoneticPr fontId="134" type="noConversion"/>
  </si>
  <si>
    <t>房屋坐落</t>
  </si>
  <si>
    <t>物业名称</t>
  </si>
  <si>
    <t>产权性质</t>
  </si>
  <si>
    <t>建筑面积</t>
  </si>
  <si>
    <t>房屋用途</t>
  </si>
  <si>
    <t>总层数</t>
  </si>
  <si>
    <t>所在楼层</t>
  </si>
  <si>
    <t>朝向</t>
    <phoneticPr fontId="134" type="noConversion"/>
  </si>
  <si>
    <t>装修</t>
    <phoneticPr fontId="134" type="noConversion"/>
  </si>
  <si>
    <t>基础设施</t>
    <phoneticPr fontId="134" type="noConversion"/>
  </si>
  <si>
    <t>产权年代</t>
  </si>
  <si>
    <t>成交单价</t>
  </si>
  <si>
    <t>评估单价</t>
  </si>
  <si>
    <t>评估总价</t>
  </si>
  <si>
    <t>估价时点</t>
  </si>
  <si>
    <t>商品房</t>
  </si>
  <si>
    <t>南北</t>
    <phoneticPr fontId="134" type="noConversion"/>
  </si>
  <si>
    <t>七通</t>
    <phoneticPr fontId="134" type="noConversion"/>
  </si>
  <si>
    <t>东西</t>
    <phoneticPr fontId="134" type="noConversion"/>
  </si>
  <si>
    <t>南</t>
    <phoneticPr fontId="134" type="noConversion"/>
  </si>
  <si>
    <t>西北</t>
    <phoneticPr fontId="134" type="noConversion"/>
  </si>
  <si>
    <t>东南</t>
    <phoneticPr fontId="134" type="noConversion"/>
  </si>
  <si>
    <t>西南</t>
    <phoneticPr fontId="134" type="noConversion"/>
  </si>
  <si>
    <t>东</t>
    <phoneticPr fontId="134" type="noConversion"/>
  </si>
  <si>
    <t>西</t>
    <phoneticPr fontId="134" type="noConversion"/>
  </si>
  <si>
    <t>东北</t>
    <phoneticPr fontId="134" type="noConversion"/>
  </si>
  <si>
    <t>北</t>
    <phoneticPr fontId="134" type="noConversion"/>
  </si>
  <si>
    <t>红莲南里</t>
    <phoneticPr fontId="3" type="noConversion"/>
  </si>
  <si>
    <t>红莲南里4号楼4-5-502</t>
    <phoneticPr fontId="134" type="noConversion"/>
  </si>
  <si>
    <t>红莲南里</t>
    <phoneticPr fontId="134" type="noConversion"/>
  </si>
  <si>
    <t>红莲南里10号楼4-5-502</t>
    <phoneticPr fontId="134" type="noConversion"/>
  </si>
  <si>
    <t>红莲南里12号楼6-1-103</t>
    <phoneticPr fontId="134" type="noConversion"/>
  </si>
  <si>
    <t>红莲南里20号楼2-1-104</t>
    <phoneticPr fontId="134" type="noConversion"/>
  </si>
  <si>
    <t>红莲南里4号楼2-6-601</t>
    <phoneticPr fontId="134" type="noConversion"/>
  </si>
  <si>
    <t>红莲南里12号楼6-1-102</t>
    <phoneticPr fontId="134" type="noConversion"/>
  </si>
  <si>
    <t>红莲南里12号楼4-4-402</t>
    <phoneticPr fontId="134" type="noConversion"/>
  </si>
  <si>
    <t>红莲南里4号楼2-2-202</t>
    <phoneticPr fontId="134" type="noConversion"/>
  </si>
  <si>
    <t>南</t>
    <phoneticPr fontId="134" type="noConversion"/>
  </si>
  <si>
    <t>普通装修</t>
    <phoneticPr fontId="134" type="noConversion"/>
  </si>
  <si>
    <t>南北</t>
  </si>
  <si>
    <t>南北</t>
    <phoneticPr fontId="134" type="noConversion"/>
  </si>
  <si>
    <t>简单装修</t>
    <phoneticPr fontId="134" type="noConversion"/>
  </si>
  <si>
    <t>2室1厅1卫1厨1小院</t>
    <phoneticPr fontId="134" type="noConversion"/>
  </si>
  <si>
    <t>户型</t>
    <phoneticPr fontId="134" type="noConversion"/>
  </si>
  <si>
    <t>2室1厅1卫1厨</t>
    <phoneticPr fontId="134" type="noConversion"/>
  </si>
  <si>
    <t>1室1厅1卫1厨</t>
    <phoneticPr fontId="134" type="noConversion"/>
  </si>
  <si>
    <r>
      <t>20-30</t>
    </r>
    <r>
      <rPr>
        <sz val="11"/>
        <color indexed="8"/>
        <rFont val="宋体"/>
        <family val="3"/>
        <charset val="134"/>
      </rPr>
      <t>（含）</t>
    </r>
    <phoneticPr fontId="24" type="noConversion"/>
  </si>
  <si>
    <r>
      <t>4/6</t>
    </r>
    <r>
      <rPr>
        <sz val="11"/>
        <rFont val="宋体"/>
        <family val="3"/>
        <charset val="134"/>
      </rPr>
      <t>（中楼层）</t>
    </r>
    <phoneticPr fontId="24" type="noConversion"/>
  </si>
  <si>
    <r>
      <rPr>
        <sz val="11"/>
        <rFont val="Arial"/>
        <family val="2"/>
      </rPr>
      <t>1/6</t>
    </r>
    <r>
      <rPr>
        <sz val="11"/>
        <rFont val="宋体"/>
        <family val="3"/>
        <charset val="134"/>
      </rPr>
      <t>（底层）</t>
    </r>
    <phoneticPr fontId="24" type="noConversion"/>
  </si>
  <si>
    <r>
      <rPr>
        <sz val="11"/>
        <rFont val="Arial"/>
        <family val="2"/>
      </rPr>
      <t>6/6</t>
    </r>
    <r>
      <rPr>
        <sz val="11"/>
        <rFont val="宋体"/>
        <family val="3"/>
        <charset val="134"/>
      </rPr>
      <t>（顶层）</t>
    </r>
    <phoneticPr fontId="24" type="noConversion"/>
  </si>
  <si>
    <r>
      <rPr>
        <sz val="11"/>
        <rFont val="Arial"/>
        <family val="2"/>
      </rPr>
      <t>4/6</t>
    </r>
    <r>
      <rPr>
        <sz val="11"/>
        <rFont val="宋体"/>
        <family val="3"/>
        <charset val="134"/>
      </rPr>
      <t>（中楼层）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</si>
</sst>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charset val="134"/>
    </font>
    <font>
      <sz val="11"/>
      <name val="Arial"/>
      <family val="3"/>
      <charset val="134"/>
    </font>
    <font>
      <sz val="9"/>
      <color rgb="FFFF0000"/>
      <name val="Microsoft YaHei"/>
      <family val="2"/>
      <charset val="134"/>
    </font>
    <font>
      <sz val="9"/>
      <name val="Microsoft YaHei"/>
      <family val="2"/>
      <charset val="134"/>
    </font>
    <font>
      <sz val="11"/>
      <color rgb="FF000000"/>
      <name val="宋体"/>
      <family val="3"/>
      <charset val="134"/>
    </font>
    <font>
      <sz val="11"/>
      <name val="Arial"/>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0" borderId="13" xfId="0" applyFont="1" applyBorder="1" applyAlignment="1" applyProtection="1">
      <alignment horizontal="left" vertical="center" wrapText="1"/>
      <protection locked="0"/>
    </xf>
    <xf numFmtId="0" fontId="44" fillId="0" borderId="46" xfId="0" applyFont="1" applyBorder="1" applyAlignment="1" applyProtection="1">
      <alignment horizontal="left" vertical="center" wrapText="1"/>
      <protection locked="0"/>
    </xf>
    <xf numFmtId="189" fontId="44" fillId="6" borderId="9"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128" fillId="0" borderId="45" xfId="0" applyFont="1" applyBorder="1" applyAlignment="1" applyProtection="1">
      <alignment horizontal="left" vertical="center" wrapText="1"/>
      <protection locked="0"/>
    </xf>
    <xf numFmtId="0" fontId="44"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269"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4" fillId="0" borderId="44" xfId="0" applyFont="1" applyBorder="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protection locked="0"/>
    </xf>
    <xf numFmtId="0" fontId="128" fillId="0" borderId="41"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270" fillId="0" borderId="37" xfId="0" applyNumberFormat="1" applyFont="1" applyFill="1" applyBorder="1" applyAlignment="1" applyProtection="1">
      <alignment horizontal="center" vertical="center" wrapText="1"/>
      <protection locked="0"/>
    </xf>
    <xf numFmtId="0" fontId="271" fillId="7" borderId="1" xfId="0" applyFont="1" applyFill="1" applyBorder="1" applyAlignment="1">
      <alignment horizontal="center" vertical="center" wrapText="1"/>
    </xf>
    <xf numFmtId="31" fontId="271" fillId="7" borderId="1" xfId="0" applyNumberFormat="1" applyFont="1" applyFill="1" applyBorder="1" applyAlignment="1">
      <alignment horizontal="center" vertical="center" wrapText="1"/>
    </xf>
    <xf numFmtId="0" fontId="272" fillId="7" borderId="1" xfId="0" applyFont="1" applyFill="1" applyBorder="1" applyAlignment="1">
      <alignment horizontal="center" vertical="center" wrapText="1"/>
    </xf>
    <xf numFmtId="31" fontId="272" fillId="7" borderId="1" xfId="0" applyNumberFormat="1" applyFont="1" applyFill="1" applyBorder="1" applyAlignment="1">
      <alignment horizontal="center" vertical="center" wrapText="1"/>
    </xf>
    <xf numFmtId="0" fontId="51" fillId="5" borderId="23" xfId="0" applyNumberFormat="1" applyFont="1" applyFill="1" applyBorder="1" applyAlignment="1" applyProtection="1">
      <alignment horizontal="center" vertical="center" wrapText="1"/>
      <protection locked="0"/>
    </xf>
    <xf numFmtId="9" fontId="47" fillId="22" borderId="5" xfId="0" applyNumberFormat="1" applyFont="1" applyFill="1" applyBorder="1" applyAlignment="1" applyProtection="1">
      <alignment horizontal="center" vertical="center"/>
      <protection locked="0"/>
    </xf>
    <xf numFmtId="0" fontId="273"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72" fillId="7" borderId="15" xfId="0" applyFont="1" applyFill="1" applyBorder="1" applyAlignment="1">
      <alignment horizontal="center" vertical="center" wrapText="1"/>
    </xf>
    <xf numFmtId="0" fontId="274" fillId="0" borderId="37" xfId="0" applyNumberFormat="1" applyFont="1" applyFill="1" applyBorder="1" applyAlignment="1" applyProtection="1">
      <alignment horizontal="center" vertical="center" wrapText="1"/>
      <protection locked="0"/>
    </xf>
    <xf numFmtId="179" fontId="52" fillId="17" borderId="24" xfId="0" applyNumberFormat="1" applyFont="1" applyFill="1" applyBorder="1" applyAlignment="1" applyProtection="1">
      <alignment horizontal="center" vertical="center"/>
    </xf>
    <xf numFmtId="0" fontId="44" fillId="17" borderId="24" xfId="0" applyNumberFormat="1" applyFont="1" applyFill="1" applyBorder="1" applyAlignment="1" applyProtection="1">
      <alignment horizontal="center" vertical="center" wrapText="1"/>
    </xf>
    <xf numFmtId="0" fontId="271" fillId="5" borderId="1" xfId="0" applyFont="1" applyFill="1" applyBorder="1" applyAlignment="1">
      <alignment horizontal="center" vertical="center" wrapText="1"/>
    </xf>
    <xf numFmtId="31" fontId="271" fillId="5" borderId="1" xfId="0" applyNumberFormat="1" applyFont="1" applyFill="1" applyBorder="1" applyAlignment="1">
      <alignment horizontal="center" vertical="center" wrapText="1"/>
    </xf>
    <xf numFmtId="0" fontId="0" fillId="5"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504001</xdr:colOff>
      <xdr:row>20</xdr:row>
      <xdr:rowOff>151929</xdr:rowOff>
    </xdr:to>
    <xdr:pic>
      <xdr:nvPicPr>
        <xdr:cNvPr id="4" name="图片 3">
          <a:extLst>
            <a:ext uri="{FF2B5EF4-FFF2-40B4-BE49-F238E27FC236}">
              <a16:creationId xmlns:a16="http://schemas.microsoft.com/office/drawing/2014/main" id="{BE198E20-5AC2-4C6A-8585-E23A06DB5AA8}"/>
            </a:ext>
          </a:extLst>
        </xdr:cNvPr>
        <xdr:cNvPicPr>
          <a:picLocks noChangeAspect="1"/>
        </xdr:cNvPicPr>
      </xdr:nvPicPr>
      <xdr:blipFill>
        <a:blip xmlns:r="http://schemas.openxmlformats.org/officeDocument/2006/relationships" r:embed="rId1"/>
        <a:stretch>
          <a:fillRect/>
        </a:stretch>
      </xdr:blipFill>
      <xdr:spPr>
        <a:xfrm>
          <a:off x="0" y="0"/>
          <a:ext cx="6590476" cy="3771429"/>
        </a:xfrm>
        <a:prstGeom prst="rect">
          <a:avLst/>
        </a:prstGeom>
      </xdr:spPr>
    </xdr:pic>
    <xdr:clientData/>
  </xdr:twoCellAnchor>
  <xdr:twoCellAnchor editAs="oneCell">
    <xdr:from>
      <xdr:col>0</xdr:col>
      <xdr:colOff>0</xdr:colOff>
      <xdr:row>21</xdr:row>
      <xdr:rowOff>0</xdr:rowOff>
    </xdr:from>
    <xdr:to>
      <xdr:col>9</xdr:col>
      <xdr:colOff>513525</xdr:colOff>
      <xdr:row>42</xdr:row>
      <xdr:rowOff>85239</xdr:rowOff>
    </xdr:to>
    <xdr:pic>
      <xdr:nvPicPr>
        <xdr:cNvPr id="5" name="图片 4">
          <a:extLst>
            <a:ext uri="{FF2B5EF4-FFF2-40B4-BE49-F238E27FC236}">
              <a16:creationId xmlns:a16="http://schemas.microsoft.com/office/drawing/2014/main" id="{57F55C6A-6063-4312-B6BB-D54491C783B5}"/>
            </a:ext>
          </a:extLst>
        </xdr:cNvPr>
        <xdr:cNvPicPr>
          <a:picLocks noChangeAspect="1"/>
        </xdr:cNvPicPr>
      </xdr:nvPicPr>
      <xdr:blipFill>
        <a:blip xmlns:r="http://schemas.openxmlformats.org/officeDocument/2006/relationships" r:embed="rId2"/>
        <a:stretch>
          <a:fillRect/>
        </a:stretch>
      </xdr:blipFill>
      <xdr:spPr>
        <a:xfrm>
          <a:off x="0" y="3800475"/>
          <a:ext cx="6600000" cy="3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16</xdr:col>
      <xdr:colOff>798873</xdr:colOff>
      <xdr:row>27</xdr:row>
      <xdr:rowOff>47280</xdr:rowOff>
    </xdr:to>
    <xdr:pic>
      <xdr:nvPicPr>
        <xdr:cNvPr id="8" name="图片 7">
          <a:extLst>
            <a:ext uri="{FF2B5EF4-FFF2-40B4-BE49-F238E27FC236}">
              <a16:creationId xmlns:a16="http://schemas.microsoft.com/office/drawing/2014/main" id="{54E1018B-913C-4FD2-8AC2-5ECF81093BF3}"/>
            </a:ext>
          </a:extLst>
        </xdr:cNvPr>
        <xdr:cNvPicPr>
          <a:picLocks noChangeAspect="1"/>
        </xdr:cNvPicPr>
      </xdr:nvPicPr>
      <xdr:blipFill>
        <a:blip xmlns:r="http://schemas.openxmlformats.org/officeDocument/2006/relationships" r:embed="rId1"/>
        <a:stretch>
          <a:fillRect/>
        </a:stretch>
      </xdr:blipFill>
      <xdr:spPr>
        <a:xfrm>
          <a:off x="1352550" y="3076575"/>
          <a:ext cx="9819048" cy="2761905"/>
        </a:xfrm>
        <a:prstGeom prst="rect">
          <a:avLst/>
        </a:prstGeom>
      </xdr:spPr>
    </xdr:pic>
    <xdr:clientData/>
  </xdr:twoCellAnchor>
  <xdr:twoCellAnchor editAs="oneCell">
    <xdr:from>
      <xdr:col>0</xdr:col>
      <xdr:colOff>0</xdr:colOff>
      <xdr:row>10</xdr:row>
      <xdr:rowOff>85725</xdr:rowOff>
    </xdr:from>
    <xdr:to>
      <xdr:col>16</xdr:col>
      <xdr:colOff>798873</xdr:colOff>
      <xdr:row>11</xdr:row>
      <xdr:rowOff>95223</xdr:rowOff>
    </xdr:to>
    <xdr:pic>
      <xdr:nvPicPr>
        <xdr:cNvPr id="9" name="图片 8">
          <a:extLst>
            <a:ext uri="{FF2B5EF4-FFF2-40B4-BE49-F238E27FC236}">
              <a16:creationId xmlns:a16="http://schemas.microsoft.com/office/drawing/2014/main" id="{3691489D-CA04-4914-BB29-4692195879F6}"/>
            </a:ext>
          </a:extLst>
        </xdr:cNvPr>
        <xdr:cNvPicPr>
          <a:picLocks noChangeAspect="1"/>
        </xdr:cNvPicPr>
      </xdr:nvPicPr>
      <xdr:blipFill>
        <a:blip xmlns:r="http://schemas.openxmlformats.org/officeDocument/2006/relationships" r:embed="rId2"/>
        <a:stretch>
          <a:fillRect/>
        </a:stretch>
      </xdr:blipFill>
      <xdr:spPr>
        <a:xfrm>
          <a:off x="1352550" y="2800350"/>
          <a:ext cx="9819048" cy="219048"/>
        </a:xfrm>
        <a:prstGeom prst="rect">
          <a:avLst/>
        </a:prstGeom>
      </xdr:spPr>
    </xdr:pic>
    <xdr:clientData/>
  </xdr:twoCellAnchor>
  <xdr:twoCellAnchor editAs="oneCell">
    <xdr:from>
      <xdr:col>0</xdr:col>
      <xdr:colOff>0</xdr:colOff>
      <xdr:row>27</xdr:row>
      <xdr:rowOff>66675</xdr:rowOff>
    </xdr:from>
    <xdr:to>
      <xdr:col>16</xdr:col>
      <xdr:colOff>808396</xdr:colOff>
      <xdr:row>37</xdr:row>
      <xdr:rowOff>95020</xdr:rowOff>
    </xdr:to>
    <xdr:pic>
      <xdr:nvPicPr>
        <xdr:cNvPr id="10" name="图片 9">
          <a:extLst>
            <a:ext uri="{FF2B5EF4-FFF2-40B4-BE49-F238E27FC236}">
              <a16:creationId xmlns:a16="http://schemas.microsoft.com/office/drawing/2014/main" id="{952C093F-BF1F-45E3-9178-E5FDF1AA74CB}"/>
            </a:ext>
          </a:extLst>
        </xdr:cNvPr>
        <xdr:cNvPicPr>
          <a:picLocks noChangeAspect="1"/>
        </xdr:cNvPicPr>
      </xdr:nvPicPr>
      <xdr:blipFill>
        <a:blip xmlns:r="http://schemas.openxmlformats.org/officeDocument/2006/relationships" r:embed="rId3"/>
        <a:stretch>
          <a:fillRect/>
        </a:stretch>
      </xdr:blipFill>
      <xdr:spPr>
        <a:xfrm>
          <a:off x="1333500" y="5857875"/>
          <a:ext cx="9828571" cy="1838095"/>
        </a:xfrm>
        <a:prstGeom prst="rect">
          <a:avLst/>
        </a:prstGeom>
      </xdr:spPr>
    </xdr:pic>
    <xdr:clientData/>
  </xdr:twoCellAnchor>
  <xdr:twoCellAnchor editAs="oneCell">
    <xdr:from>
      <xdr:col>0</xdr:col>
      <xdr:colOff>0</xdr:colOff>
      <xdr:row>37</xdr:row>
      <xdr:rowOff>133350</xdr:rowOff>
    </xdr:from>
    <xdr:to>
      <xdr:col>16</xdr:col>
      <xdr:colOff>817920</xdr:colOff>
      <xdr:row>42</xdr:row>
      <xdr:rowOff>161808</xdr:rowOff>
    </xdr:to>
    <xdr:pic>
      <xdr:nvPicPr>
        <xdr:cNvPr id="11" name="图片 10">
          <a:extLst>
            <a:ext uri="{FF2B5EF4-FFF2-40B4-BE49-F238E27FC236}">
              <a16:creationId xmlns:a16="http://schemas.microsoft.com/office/drawing/2014/main" id="{1AD3AB3C-D75F-46AE-AF4F-0B9B3D1DE220}"/>
            </a:ext>
          </a:extLst>
        </xdr:cNvPr>
        <xdr:cNvPicPr>
          <a:picLocks noChangeAspect="1"/>
        </xdr:cNvPicPr>
      </xdr:nvPicPr>
      <xdr:blipFill>
        <a:blip xmlns:r="http://schemas.openxmlformats.org/officeDocument/2006/relationships" r:embed="rId4"/>
        <a:stretch>
          <a:fillRect/>
        </a:stretch>
      </xdr:blipFill>
      <xdr:spPr>
        <a:xfrm>
          <a:off x="1323975" y="7734300"/>
          <a:ext cx="9838095" cy="933333"/>
        </a:xfrm>
        <a:prstGeom prst="rect">
          <a:avLst/>
        </a:prstGeom>
      </xdr:spPr>
    </xdr:pic>
    <xdr:clientData/>
  </xdr:twoCellAnchor>
  <xdr:twoCellAnchor editAs="oneCell">
    <xdr:from>
      <xdr:col>0</xdr:col>
      <xdr:colOff>0</xdr:colOff>
      <xdr:row>43</xdr:row>
      <xdr:rowOff>0</xdr:rowOff>
    </xdr:from>
    <xdr:to>
      <xdr:col>16</xdr:col>
      <xdr:colOff>589349</xdr:colOff>
      <xdr:row>49</xdr:row>
      <xdr:rowOff>18912</xdr:rowOff>
    </xdr:to>
    <xdr:pic>
      <xdr:nvPicPr>
        <xdr:cNvPr id="12" name="图片 11">
          <a:extLst>
            <a:ext uri="{FF2B5EF4-FFF2-40B4-BE49-F238E27FC236}">
              <a16:creationId xmlns:a16="http://schemas.microsoft.com/office/drawing/2014/main" id="{F6B7B79F-0921-425A-BCA7-7973D86C12C5}"/>
            </a:ext>
          </a:extLst>
        </xdr:cNvPr>
        <xdr:cNvPicPr>
          <a:picLocks noChangeAspect="1"/>
        </xdr:cNvPicPr>
      </xdr:nvPicPr>
      <xdr:blipFill>
        <a:blip xmlns:r="http://schemas.openxmlformats.org/officeDocument/2006/relationships" r:embed="rId5"/>
        <a:stretch>
          <a:fillRect/>
        </a:stretch>
      </xdr:blipFill>
      <xdr:spPr>
        <a:xfrm>
          <a:off x="1352550" y="8686800"/>
          <a:ext cx="9609524" cy="1104762"/>
        </a:xfrm>
        <a:prstGeom prst="rect">
          <a:avLst/>
        </a:prstGeom>
      </xdr:spPr>
    </xdr:pic>
    <xdr:clientData/>
  </xdr:twoCellAnchor>
  <xdr:twoCellAnchor editAs="oneCell">
    <xdr:from>
      <xdr:col>0</xdr:col>
      <xdr:colOff>0</xdr:colOff>
      <xdr:row>49</xdr:row>
      <xdr:rowOff>0</xdr:rowOff>
    </xdr:from>
    <xdr:to>
      <xdr:col>16</xdr:col>
      <xdr:colOff>608396</xdr:colOff>
      <xdr:row>54</xdr:row>
      <xdr:rowOff>47506</xdr:rowOff>
    </xdr:to>
    <xdr:pic>
      <xdr:nvPicPr>
        <xdr:cNvPr id="13" name="图片 12">
          <a:extLst>
            <a:ext uri="{FF2B5EF4-FFF2-40B4-BE49-F238E27FC236}">
              <a16:creationId xmlns:a16="http://schemas.microsoft.com/office/drawing/2014/main" id="{500BA842-B53E-4526-B3D1-7427FDD12F3B}"/>
            </a:ext>
          </a:extLst>
        </xdr:cNvPr>
        <xdr:cNvPicPr>
          <a:picLocks noChangeAspect="1"/>
        </xdr:cNvPicPr>
      </xdr:nvPicPr>
      <xdr:blipFill>
        <a:blip xmlns:r="http://schemas.openxmlformats.org/officeDocument/2006/relationships" r:embed="rId6"/>
        <a:stretch>
          <a:fillRect/>
        </a:stretch>
      </xdr:blipFill>
      <xdr:spPr>
        <a:xfrm>
          <a:off x="1352550" y="9772650"/>
          <a:ext cx="9628571" cy="952381"/>
        </a:xfrm>
        <a:prstGeom prst="rect">
          <a:avLst/>
        </a:prstGeom>
      </xdr:spPr>
    </xdr:pic>
    <xdr:clientData/>
  </xdr:twoCellAnchor>
  <xdr:twoCellAnchor editAs="oneCell">
    <xdr:from>
      <xdr:col>0</xdr:col>
      <xdr:colOff>0</xdr:colOff>
      <xdr:row>54</xdr:row>
      <xdr:rowOff>76200</xdr:rowOff>
    </xdr:from>
    <xdr:to>
      <xdr:col>16</xdr:col>
      <xdr:colOff>608396</xdr:colOff>
      <xdr:row>59</xdr:row>
      <xdr:rowOff>142754</xdr:rowOff>
    </xdr:to>
    <xdr:pic>
      <xdr:nvPicPr>
        <xdr:cNvPr id="14" name="图片 13">
          <a:extLst>
            <a:ext uri="{FF2B5EF4-FFF2-40B4-BE49-F238E27FC236}">
              <a16:creationId xmlns:a16="http://schemas.microsoft.com/office/drawing/2014/main" id="{F82050B5-4BDE-46AC-B48C-2DB10F9D4F28}"/>
            </a:ext>
          </a:extLst>
        </xdr:cNvPr>
        <xdr:cNvPicPr>
          <a:picLocks noChangeAspect="1"/>
        </xdr:cNvPicPr>
      </xdr:nvPicPr>
      <xdr:blipFill>
        <a:blip xmlns:r="http://schemas.openxmlformats.org/officeDocument/2006/relationships" r:embed="rId7"/>
        <a:stretch>
          <a:fillRect/>
        </a:stretch>
      </xdr:blipFill>
      <xdr:spPr>
        <a:xfrm>
          <a:off x="1343025" y="10753725"/>
          <a:ext cx="9628571" cy="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AppData/Roaming/SogouExplorer/Download/&#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7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6.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5" thickBot="1">
      <c r="A5" s="1203" t="s">
        <v>525</v>
      </c>
      <c r="B5" s="1204" t="str">
        <f>'预评函-封皮'!B49</f>
        <v>康正预评字号</v>
      </c>
    </row>
    <row r="6" spans="1:2" s="1199" customFormat="1" ht="16.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估价对象为北京市房地产，为所有。根据《国有土地使用证》[]，估价对象（分摊）出让国有建设用地使用权面积为0平方米，建筑面积为56.8平方米。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估价对象为北京市房地产,属开发建设的，该项目尚在开发建设中。根据《国有土地使用证》[]，估价对象（分摊）出让国有建设用地使用权面积为0平方米，规划建筑面积为56.8平方米。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2023年7月24日（评估专业人员实地查勘之日）</v>
      </c>
    </row>
    <row r="13" spans="1:2" s="1202" customFormat="1">
      <c r="A13" s="1200" t="s">
        <v>529</v>
      </c>
      <c r="B13" s="1201" t="str">
        <f>'预评函-1'!A18</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6.5" thickBot="1">
      <c r="A18" s="1203" t="s">
        <v>534</v>
      </c>
      <c r="B18" s="1204" t="str">
        <f>'预评函-1'!A24</f>
        <v>本次评估采用的主估价方法为比较法和收益法。</v>
      </c>
    </row>
    <row r="19" spans="1:2" s="1199" customFormat="1" ht="16.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56.8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6.5" thickBot="1">
      <c r="A57" s="1203" t="s">
        <v>599</v>
      </c>
      <c r="B57" s="1204" t="str">
        <f>'预评函-3'!A6</f>
        <v/>
      </c>
    </row>
    <row r="58" spans="1:2" s="1199" customFormat="1" ht="16.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6.5" thickBot="1">
      <c r="A69" s="1203" t="s">
        <v>561</v>
      </c>
      <c r="B69" s="1205">
        <f>'预评函-4'!C31</f>
        <v>42551</v>
      </c>
    </row>
    <row r="70" spans="1:2" ht="16.5" thickTop="1">
      <c r="A70" s="1206" t="s">
        <v>562</v>
      </c>
      <c r="B70" s="1207">
        <f>'预评函-4'!A4</f>
        <v>0</v>
      </c>
    </row>
    <row r="71" spans="1:2">
      <c r="A71" s="1200" t="s">
        <v>563</v>
      </c>
      <c r="B71" s="1201">
        <f>'预评函-4'!B4</f>
        <v>0</v>
      </c>
    </row>
    <row r="72" spans="1:2">
      <c r="A72" s="1200" t="s">
        <v>564</v>
      </c>
      <c r="B72" s="1209">
        <f>'预评函-4'!A5</f>
        <v>0</v>
      </c>
    </row>
    <row r="73" spans="1:2" s="1196" customFormat="1" ht="16.5" thickBot="1">
      <c r="A73" s="1203" t="s">
        <v>565</v>
      </c>
      <c r="B73" s="1204">
        <f>'预评函-4'!B5</f>
        <v>0</v>
      </c>
    </row>
    <row r="74" spans="1:2" ht="16.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25"/>
  <cols>
    <col min="1" max="1" width="13.5" style="1555" customWidth="1"/>
    <col min="2" max="2" width="23.125" style="1506" customWidth="1"/>
    <col min="3" max="3" width="13" style="1550" customWidth="1"/>
    <col min="4" max="4" width="5.62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2.7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3" t="s">
        <v>385</v>
      </c>
      <c r="C54" s="1550" t="s">
        <v>583</v>
      </c>
    </row>
    <row r="55" spans="1:4">
      <c r="A55" s="3525"/>
      <c r="B55" s="1553" t="s">
        <v>386</v>
      </c>
      <c r="C55" s="1550" t="s">
        <v>584</v>
      </c>
    </row>
    <row r="56" spans="1:4">
      <c r="A56" s="3525"/>
      <c r="B56" s="1553" t="s">
        <v>387</v>
      </c>
      <c r="C56" s="1550" t="s">
        <v>588</v>
      </c>
    </row>
    <row r="57" spans="1:4">
      <c r="A57" s="352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D6" sqref="D6"/>
    </sheetView>
  </sheetViews>
  <sheetFormatPr defaultColWidth="15.125" defaultRowHeight="14.25"/>
  <cols>
    <col min="1" max="7" width="15.125" style="3013"/>
    <col min="8" max="8" width="5.5" style="3013" customWidth="1"/>
    <col min="9" max="13" width="9.5" style="3055" customWidth="1"/>
    <col min="14" max="18" width="9.5" style="3013" customWidth="1"/>
    <col min="19" max="16384" width="15.1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526" t="s">
        <v>2583</v>
      </c>
      <c r="J2" s="3526"/>
      <c r="K2" s="3526"/>
      <c r="L2" s="3526"/>
      <c r="M2" s="3526"/>
      <c r="N2" s="3526"/>
      <c r="O2" s="3526"/>
      <c r="P2" s="3526"/>
      <c r="Q2" s="3526"/>
      <c r="R2" s="3526"/>
    </row>
    <row r="3" spans="1:18">
      <c r="A3" s="3017" t="s">
        <v>2504</v>
      </c>
      <c r="B3" s="3018">
        <f>项目基本情况!D3</f>
        <v>45131</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3.4</v>
      </c>
      <c r="D5" s="3022">
        <f>IF(ISERROR(ROUND(POWER(1+E5,A5-C5)*(POWER(1+E5,C5)-1)/(POWER(1+E5,A5)-1),3)),0,ROUND(POWER(1+E5,A5-C5)*(POWER(1+E5,C5)-1)/(POWER(1+E5,A5)-1),4))</f>
        <v>0.15770000000000001</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13.41</v>
      </c>
      <c r="D6" s="3022">
        <f>IF(ISERROR(ROUND(POWER(1+E6,A6-C6)*(POWER(1+E6,C6)-1)/(POWER(1+E6,A6)-1),3)),0,ROUND(POWER(1+E6,A6-C6)*(POWER(1+E6,C6)-1)/(POWER(1+E6,A6)-1),4))</f>
        <v>0.47599999999999998</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33.43</v>
      </c>
      <c r="D7" s="3022">
        <f>IF(ISERROR(ROUND(POWER(1+E7,A7-C7)*(POWER(1+E7,C7)-1)/(POWER(1+E7,A7)-1),3)),0,ROUND(POWER(1+E7,A7-C7)*(POWER(1+E7,C7)-1)/(POWER(1+E7,A7)-1),4))</f>
        <v>0.78059999999999996</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5" thickBot="1">
      <c r="A18" s="3028" t="s">
        <v>2519</v>
      </c>
      <c r="B18" s="3029">
        <f>ROUND(B17*F11/F12,2)</f>
        <v>5541.87</v>
      </c>
      <c r="C18" s="3029">
        <f>ROUND(F11/F12,4)</f>
        <v>1.1521999999999999</v>
      </c>
      <c r="D18" s="3030"/>
      <c r="E18" s="3030"/>
      <c r="F18" s="3031"/>
    </row>
    <row r="19" spans="1:13" ht="15" thickBot="1"/>
    <row r="20" spans="1:13" s="3066" customFormat="1" ht="1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SheetLayoutView="90" workbookViewId="0">
      <selection activeCell="E16" sqref="E1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62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2168</v>
      </c>
      <c r="B1" s="3535" t="str">
        <f>IF(B10="北京市","北京市",C10)&amp;F10&amp;IF(结果表!G1="在建","出让国有建设用地使用权及在建建筑物",IF(结果表!G1="土地","出让国有建设用地使用权",))&amp;B9&amp;"预评估"</f>
        <v>北京市房地产市场价值预评估</v>
      </c>
      <c r="C1" s="3536"/>
      <c r="D1" s="3536"/>
      <c r="E1" s="3536"/>
      <c r="F1" s="3536"/>
      <c r="G1" s="3536"/>
      <c r="H1" s="3536"/>
      <c r="I1" s="3537"/>
      <c r="J1" s="2468"/>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4" t="s">
        <v>2169</v>
      </c>
      <c r="B2" s="2368"/>
      <c r="C2" s="2369"/>
      <c r="D2" s="2667"/>
      <c r="E2" s="2659"/>
      <c r="F2" s="2659"/>
      <c r="G2" s="2660"/>
      <c r="H2" s="2660"/>
      <c r="I2" s="2660"/>
      <c r="J2" s="2468"/>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0">
        <v>45131</v>
      </c>
      <c r="C3" s="2371" t="s">
        <v>2171</v>
      </c>
      <c r="D3" s="2370">
        <f>B3</f>
        <v>45131</v>
      </c>
      <c r="E3" s="2660"/>
      <c r="F3" s="2660"/>
      <c r="G3" s="2660"/>
      <c r="H3" s="2660"/>
      <c r="I3" s="2660"/>
      <c r="J3" s="2468"/>
      <c r="K3" s="2365"/>
      <c r="L3" s="2366"/>
      <c r="M3" s="2366"/>
      <c r="N3" s="2367"/>
      <c r="O3" s="1575"/>
      <c r="P3" s="2367"/>
      <c r="Q3" s="2367"/>
      <c r="R3" s="2367"/>
      <c r="S3" s="1681"/>
      <c r="T3" s="1744"/>
      <c r="U3" s="1744"/>
      <c r="V3" s="1744"/>
      <c r="W3" s="1744"/>
      <c r="X3" s="1744"/>
      <c r="Y3" s="1744"/>
      <c r="Z3" s="1744"/>
      <c r="AA3" s="1744"/>
      <c r="AB3" s="1744"/>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5"/>
      <c r="P4" s="2367"/>
      <c r="Q4" s="2367"/>
      <c r="R4" s="2367"/>
      <c r="S4" s="1681"/>
      <c r="T4" s="1744"/>
      <c r="U4" s="1744"/>
      <c r="V4" s="1744"/>
      <c r="W4" s="1744"/>
      <c r="X4" s="1744"/>
      <c r="Y4" s="1744"/>
      <c r="Z4" s="1744"/>
      <c r="AA4" s="1744"/>
      <c r="AB4" s="1744"/>
    </row>
    <row r="5" spans="1:30" ht="13.5"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3379</v>
      </c>
      <c r="C8" s="2387"/>
      <c r="D8" s="3538" t="s">
        <v>2177</v>
      </c>
      <c r="E8" s="2388"/>
      <c r="F8" s="2389"/>
      <c r="G8" s="2660"/>
      <c r="H8" s="2660"/>
      <c r="I8" s="2660"/>
      <c r="J8" s="2436"/>
      <c r="K8" s="2611"/>
      <c r="L8" s="2610"/>
      <c r="M8" s="2610"/>
      <c r="N8" s="2436"/>
      <c r="O8" s="2447"/>
      <c r="P8" s="2436"/>
      <c r="Q8" s="2436"/>
      <c r="R8" s="2436"/>
    </row>
    <row r="9" spans="1:30" ht="13.5" thickBot="1">
      <c r="A9" s="2390" t="s">
        <v>2178</v>
      </c>
      <c r="B9" s="2391" t="s">
        <v>3380</v>
      </c>
      <c r="C9" s="2392"/>
      <c r="D9" s="3539"/>
      <c r="E9" s="2391"/>
      <c r="F9" s="2393"/>
      <c r="G9" s="2662"/>
      <c r="H9" s="2662"/>
      <c r="I9" s="2662"/>
      <c r="J9" s="2436"/>
      <c r="K9" s="2613"/>
      <c r="L9" s="2610"/>
      <c r="M9" s="2610"/>
      <c r="N9" s="2436"/>
      <c r="O9" s="2447"/>
      <c r="P9" s="2436"/>
      <c r="Q9" s="2436"/>
      <c r="R9" s="2436"/>
    </row>
    <row r="10" spans="1:30" ht="13.5" thickTop="1">
      <c r="A10" s="2394" t="s">
        <v>2179</v>
      </c>
      <c r="B10" s="2395" t="s">
        <v>3381</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3382</v>
      </c>
      <c r="C11" s="2400"/>
      <c r="D11" s="2401"/>
      <c r="E11" s="2367"/>
      <c r="F11" s="2367"/>
      <c r="G11" s="2367"/>
      <c r="H11" s="2367"/>
      <c r="I11" s="2367"/>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2579</v>
      </c>
      <c r="J12" s="3059"/>
      <c r="K12" s="2610"/>
      <c r="L12" s="2610"/>
      <c r="M12" s="2436"/>
      <c r="N12" s="2447"/>
      <c r="O12" s="2436"/>
      <c r="P12" s="2436"/>
      <c r="Q12" s="2436"/>
      <c r="AD12" s="1744"/>
    </row>
    <row r="13" spans="1:30">
      <c r="A13" s="3420" t="s">
        <v>3339</v>
      </c>
      <c r="B13" s="2404" t="s">
        <v>2190</v>
      </c>
      <c r="C13" s="856">
        <v>56083</v>
      </c>
      <c r="D13" s="856"/>
      <c r="E13" s="856"/>
      <c r="F13" s="856"/>
      <c r="G13" s="856"/>
      <c r="H13" s="856"/>
      <c r="I13" s="856"/>
      <c r="J13" s="3059"/>
      <c r="K13" s="2610"/>
      <c r="L13" s="2610"/>
      <c r="M13" s="2436"/>
      <c r="N13" s="2447"/>
      <c r="O13" s="2436"/>
      <c r="P13" s="2436"/>
      <c r="Q13" s="2436"/>
      <c r="AD13" s="1744"/>
    </row>
    <row r="14" spans="1:30">
      <c r="A14" s="1081"/>
      <c r="B14" s="2404" t="s">
        <v>2191</v>
      </c>
      <c r="C14" s="2405">
        <v>70</v>
      </c>
      <c r="D14" s="2405"/>
      <c r="E14" s="2405"/>
      <c r="F14" s="2405"/>
      <c r="G14" s="2405"/>
      <c r="H14" s="2405"/>
      <c r="I14" s="2405"/>
      <c r="J14" s="3060"/>
      <c r="K14" s="2610"/>
      <c r="L14" s="2610"/>
      <c r="M14" s="2436"/>
      <c r="N14" s="2447"/>
      <c r="O14" s="2436"/>
      <c r="P14" s="2436"/>
      <c r="Q14" s="2436"/>
      <c r="AD14" s="1744"/>
    </row>
    <row r="15" spans="1:30">
      <c r="A15" s="320"/>
      <c r="B15" s="2406" t="s">
        <v>2192</v>
      </c>
      <c r="C15" s="2407">
        <f>IF(A13="出让",IF(C13="","",ROUNDDOWN(MIN((C13-$D$3)/365,C14),2)),C14)</f>
        <v>30</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4"/>
    </row>
    <row r="16" spans="1:30">
      <c r="A16" s="2397" t="s">
        <v>2193</v>
      </c>
      <c r="B16" s="3545"/>
      <c r="C16" s="3546"/>
      <c r="D16" s="3547"/>
      <c r="E16" s="2410" t="s">
        <v>2194</v>
      </c>
      <c r="F16" s="3548"/>
      <c r="G16" s="3549"/>
      <c r="H16" s="3549"/>
      <c r="I16" s="3550"/>
      <c r="J16" s="2436"/>
      <c r="K16" s="2614"/>
      <c r="L16" s="2448"/>
      <c r="M16" s="2448"/>
      <c r="N16" s="2506"/>
      <c r="O16" s="2448"/>
      <c r="P16" s="2506"/>
      <c r="Q16" s="2436"/>
      <c r="R16" s="2436"/>
    </row>
    <row r="17" spans="1:28">
      <c r="A17" s="313" t="s">
        <v>2195</v>
      </c>
      <c r="B17" s="302" t="s">
        <v>2196</v>
      </c>
      <c r="C17" s="8">
        <f>'数据-汇总表'!E3</f>
        <v>56.8</v>
      </c>
      <c r="D17" s="2319" t="s">
        <v>2197</v>
      </c>
      <c r="E17" s="3551" t="s">
        <v>2198</v>
      </c>
      <c r="F17" s="3552"/>
      <c r="G17" s="3552"/>
      <c r="H17" s="3552"/>
      <c r="I17" s="3553"/>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54" t="s">
        <v>2202</v>
      </c>
      <c r="F18" s="3555"/>
      <c r="G18" s="3555"/>
      <c r="H18" s="3555"/>
      <c r="I18" s="3556"/>
      <c r="J18" s="2436"/>
      <c r="K18" s="2615"/>
      <c r="L18" s="2448"/>
      <c r="M18" s="2448"/>
      <c r="N18" s="2506"/>
      <c r="O18" s="2448"/>
      <c r="P18" s="2506"/>
      <c r="Q18" s="2436"/>
      <c r="R18" s="2436"/>
      <c r="S18" s="2436"/>
      <c r="T18" s="2436"/>
      <c r="U18" s="2436"/>
      <c r="V18" s="2436"/>
    </row>
    <row r="19" spans="1:28" ht="37.5" thickTop="1" thickBot="1">
      <c r="A19" s="327" t="s">
        <v>1055</v>
      </c>
      <c r="B19" s="307" t="s">
        <v>2203</v>
      </c>
      <c r="C19" s="1562"/>
      <c r="D19" s="1563" t="s">
        <v>2204</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2205</v>
      </c>
      <c r="B20" s="3541" t="s">
        <v>2206</v>
      </c>
      <c r="C20" s="3542"/>
      <c r="D20" s="3543" t="s">
        <v>2207</v>
      </c>
      <c r="E20" s="3544"/>
      <c r="F20" s="2644" t="s">
        <v>1056</v>
      </c>
      <c r="G20" s="2661"/>
      <c r="H20" s="2661"/>
      <c r="I20" s="2661"/>
      <c r="J20" s="2436"/>
      <c r="K20" s="354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9"/>
      <c r="B21" s="2630" t="s">
        <v>2209</v>
      </c>
      <c r="C21" s="2631" t="s">
        <v>1057</v>
      </c>
      <c r="D21" s="1567" t="s">
        <v>2210</v>
      </c>
      <c r="E21" s="2632" t="s">
        <v>1057</v>
      </c>
      <c r="F21" s="2645"/>
      <c r="G21" s="2661"/>
      <c r="H21" s="2661"/>
      <c r="I21" s="2661"/>
      <c r="J21" s="2436"/>
      <c r="K21" s="35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9"/>
      <c r="B22" s="2633" t="s">
        <v>2211</v>
      </c>
      <c r="C22" s="2631" t="s">
        <v>1058</v>
      </c>
      <c r="D22" s="2660"/>
      <c r="E22" s="2660"/>
      <c r="F22" s="2660"/>
      <c r="G22" s="2661"/>
      <c r="H22" s="2661"/>
      <c r="I22" s="2661"/>
      <c r="J22" s="2436"/>
      <c r="K22" s="354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28"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8"/>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8"/>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9"/>
      <c r="B30" s="302" t="s">
        <v>2218</v>
      </c>
      <c r="C30" s="3530"/>
      <c r="D30" s="3531"/>
      <c r="E30" s="2661"/>
      <c r="F30" s="2661"/>
      <c r="G30" s="2661"/>
      <c r="H30" s="2661"/>
      <c r="I30" s="2661"/>
      <c r="J30" s="2436"/>
      <c r="K30" s="2613"/>
      <c r="L30" s="2610"/>
      <c r="M30" s="2610"/>
      <c r="N30" s="2436"/>
      <c r="O30" s="2447"/>
      <c r="P30" s="2436"/>
      <c r="Q30" s="2436"/>
      <c r="R30" s="2436"/>
      <c r="S30" s="2436"/>
      <c r="T30" s="2436"/>
      <c r="U30" s="2436"/>
      <c r="V30" s="2436"/>
    </row>
    <row r="31" spans="1:28">
      <c r="A31" s="3532" t="s">
        <v>2219</v>
      </c>
      <c r="B31" s="2419"/>
      <c r="C31" s="2320"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33"/>
      <c r="B32" s="2419"/>
      <c r="C32" s="2320"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33"/>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527" t="s">
        <v>2228</v>
      </c>
      <c r="T34" s="2425" t="str">
        <f>NUMBERSTRING(7-K34,1)&amp;"通"</f>
        <v>七通</v>
      </c>
      <c r="U34" s="2436"/>
      <c r="V34" s="2436"/>
    </row>
    <row r="35" spans="1:30">
      <c r="A35" s="2426"/>
      <c r="B35" s="3534" t="s">
        <v>2229</v>
      </c>
      <c r="C35" s="3534"/>
      <c r="D35" s="3534"/>
      <c r="E35" s="3534"/>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2582</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7"/>
      <c r="J40" s="2506"/>
      <c r="K40" s="2612"/>
      <c r="L40" s="2448"/>
      <c r="M40" s="2448"/>
      <c r="N40" s="2506"/>
      <c r="O40" s="2448"/>
      <c r="P40" s="2436"/>
      <c r="Q40" s="2436"/>
      <c r="R40" s="2436"/>
      <c r="S40" s="2436"/>
      <c r="T40" s="2436"/>
      <c r="U40" s="2436"/>
      <c r="V40" s="2436"/>
    </row>
    <row r="41" spans="1:30">
      <c r="A41" s="2433" t="s">
        <v>2233</v>
      </c>
      <c r="B41" s="1756"/>
      <c r="C41" s="1372"/>
      <c r="D41" s="2367"/>
      <c r="E41" s="2367"/>
      <c r="F41" s="2367"/>
      <c r="G41" s="2367"/>
      <c r="H41" s="2367"/>
      <c r="I41" s="1575"/>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625" style="1572" customWidth="1"/>
    <col min="17" max="17" width="9.375" style="1572" customWidth="1"/>
    <col min="18" max="18" width="9.125" style="1572" customWidth="1"/>
    <col min="19" max="19" width="10.875" style="1572" customWidth="1"/>
    <col min="20" max="21" width="10.625" style="1572" customWidth="1"/>
    <col min="22" max="22" width="10.875" style="1572" customWidth="1"/>
    <col min="23" max="27" width="10.625" style="1572" customWidth="1"/>
    <col min="28" max="28" width="10.875" style="1572" customWidth="1"/>
    <col min="29" max="29" width="11" style="1572" bestFit="1" customWidth="1"/>
    <col min="30" max="30" width="10" style="1572" bestFit="1" customWidth="1"/>
    <col min="31" max="31" width="9.625" style="1572" customWidth="1"/>
    <col min="32" max="46" width="9.5" style="1572" customWidth="1"/>
    <col min="47" max="47" width="18.125" style="1572" customWidth="1"/>
    <col min="48" max="50" width="9.62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56.8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56.8</v>
      </c>
      <c r="H5" s="13">
        <f t="shared" ref="H5:AT5" si="0">SUM(H13:H656)</f>
        <v>56.8</v>
      </c>
      <c r="I5" s="13">
        <f t="shared" si="0"/>
        <v>56.8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56.8</v>
      </c>
      <c r="BA5" s="15">
        <f t="shared" si="1"/>
        <v>56.8</v>
      </c>
      <c r="BB5" s="15">
        <f t="shared" si="1"/>
        <v>56.8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3383</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3384</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3385</v>
      </c>
      <c r="E13" s="13">
        <f>IF($C$3="是",ROUND($A$3*G13/$B$3,2),ROUND($A$3*(G13-AT13)/$B$3,2))</f>
        <v>0</v>
      </c>
      <c r="F13" s="29"/>
      <c r="G13" s="30">
        <f>H13+AC13+AT13</f>
        <v>56.8</v>
      </c>
      <c r="H13" s="17">
        <f>SUMIF(I$12:AB$12,"总值",I13:AB13)</f>
        <v>56.8</v>
      </c>
      <c r="I13" s="1625">
        <v>56.8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56.8</v>
      </c>
      <c r="BA13" s="13">
        <f>SUM(BB13:BK13)</f>
        <v>56.8</v>
      </c>
      <c r="BB13" s="13">
        <f>IF($D13="是",I13-J13,0)</f>
        <v>56.8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SheetLayoutView="80" workbookViewId="0">
      <selection activeCell="E30" sqref="E30"/>
    </sheetView>
  </sheetViews>
  <sheetFormatPr defaultColWidth="9.125" defaultRowHeight="14.25"/>
  <cols>
    <col min="1" max="1" width="12.125" style="1637" customWidth="1"/>
    <col min="2" max="2" width="10.1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1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6" t="s">
        <v>1131</v>
      </c>
      <c r="B2" s="3566"/>
      <c r="C2" s="3566"/>
      <c r="D2" s="796" t="s">
        <v>1107</v>
      </c>
      <c r="E2" s="1638" t="s">
        <v>1108</v>
      </c>
      <c r="F2" s="2656"/>
      <c r="G2" s="2647"/>
      <c r="H2" s="2648"/>
      <c r="I2" s="2322" t="s">
        <v>1132</v>
      </c>
      <c r="J2" s="2656"/>
      <c r="K2" s="2656"/>
      <c r="L2" s="2656"/>
      <c r="M2" s="2656"/>
      <c r="N2" s="2658"/>
      <c r="O2" s="2656"/>
      <c r="P2" s="2656"/>
    </row>
    <row r="3" spans="1:16" ht="15.75" thickBot="1">
      <c r="A3" s="3567" t="s">
        <v>1105</v>
      </c>
      <c r="B3" s="3567"/>
      <c r="C3" s="3567"/>
      <c r="D3" s="43">
        <f>'数据-基础表'!AY6</f>
        <v>0</v>
      </c>
      <c r="E3" s="43">
        <f>'数据-基础表'!AZ5</f>
        <v>56.8</v>
      </c>
      <c r="F3" s="2656"/>
      <c r="G3" s="1145"/>
      <c r="H3" s="1026" t="s">
        <v>1106</v>
      </c>
      <c r="I3" s="855" t="e">
        <f>ROUND('数据-基础表'!B3/'数据-基础表'!A3,2)</f>
        <v>#DIV/0!</v>
      </c>
      <c r="J3" s="2656"/>
      <c r="K3" s="2656"/>
      <c r="L3" s="2656"/>
      <c r="M3" s="2656"/>
      <c r="N3" s="2658"/>
      <c r="O3" s="2656"/>
      <c r="P3" s="2656"/>
    </row>
    <row r="4" spans="1:16" ht="15">
      <c r="A4" s="3568"/>
      <c r="B4" s="3569"/>
      <c r="C4" s="3570"/>
      <c r="D4" s="1640" t="s">
        <v>1107</v>
      </c>
      <c r="E4" s="1641"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71" t="s">
        <v>1110</v>
      </c>
      <c r="C5" s="3571"/>
      <c r="D5" s="45">
        <f>ROUND($D$3*E5/$E$3,2)</f>
        <v>0</v>
      </c>
      <c r="E5" s="46">
        <f>SUMIF('数据-基础表'!$11:$11,"住宅",'数据-基础表'!$5:$5)</f>
        <v>56.8</v>
      </c>
      <c r="F5" s="2656"/>
      <c r="G5" s="1145"/>
      <c r="H5" s="1026" t="s">
        <v>1106</v>
      </c>
      <c r="I5" s="855" t="e">
        <f>ROUND(E31/D31,2)</f>
        <v>#DIV/0!</v>
      </c>
      <c r="J5" s="2656"/>
      <c r="K5" s="2656"/>
      <c r="L5" s="2656"/>
      <c r="M5" s="2656"/>
      <c r="N5" s="2656"/>
      <c r="O5" s="2656"/>
      <c r="P5" s="2656"/>
    </row>
    <row r="6" spans="1:16" ht="15" thickBot="1">
      <c r="A6" s="1643"/>
      <c r="B6" s="3571" t="s">
        <v>1111</v>
      </c>
      <c r="C6" s="3571"/>
      <c r="D6" s="45">
        <f>ROUND($D$3*E6/$E$3,2)</f>
        <v>0</v>
      </c>
      <c r="E6" s="46">
        <f>E3-E5</f>
        <v>0</v>
      </c>
      <c r="F6" s="2656"/>
      <c r="G6" s="2650" t="s">
        <v>1112</v>
      </c>
      <c r="H6" s="1146" t="s">
        <v>1113</v>
      </c>
      <c r="I6" s="2651" t="e">
        <f>ROUND(F31/D31,2)</f>
        <v>#DIV/0!</v>
      </c>
      <c r="J6" s="2656"/>
      <c r="K6" s="2656"/>
      <c r="L6" s="2656"/>
      <c r="M6" s="2656"/>
      <c r="N6" s="2656"/>
      <c r="O6" s="2656"/>
      <c r="P6" s="2656"/>
    </row>
    <row r="7" spans="1:16" ht="15.75" thickBot="1">
      <c r="A7" s="3563"/>
      <c r="B7" s="3564"/>
      <c r="C7" s="3565"/>
      <c r="D7" s="1640" t="s">
        <v>1107</v>
      </c>
      <c r="E7" s="1644"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56.8</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0</v>
      </c>
      <c r="E16" s="50">
        <f>SUM(E8:E15)</f>
        <v>56.8</v>
      </c>
      <c r="F16" s="2656"/>
      <c r="G16" s="2657"/>
      <c r="H16" s="1647" t="s">
        <v>1135</v>
      </c>
      <c r="I16" s="1648"/>
      <c r="J16" s="1139"/>
      <c r="K16" s="3560" t="s">
        <v>1135</v>
      </c>
      <c r="L16" s="3561"/>
      <c r="M16" s="3561"/>
      <c r="N16" s="3561"/>
      <c r="O16" s="3561"/>
      <c r="P16" s="3562"/>
    </row>
    <row r="17" spans="1:19" ht="15">
      <c r="A17" s="1649" t="s">
        <v>1136</v>
      </c>
      <c r="B17" s="1650" t="s">
        <v>1137</v>
      </c>
      <c r="C17" s="1651" t="s">
        <v>1138</v>
      </c>
      <c r="D17" s="1652" t="s">
        <v>1126</v>
      </c>
      <c r="E17" s="1653" t="s">
        <v>1127</v>
      </c>
      <c r="F17" s="1654"/>
      <c r="G17" s="1655"/>
      <c r="H17" s="1656" t="s">
        <v>1139</v>
      </c>
      <c r="I17" s="1657" t="s">
        <v>1124</v>
      </c>
      <c r="J17" s="1139"/>
      <c r="K17" s="3557" t="s">
        <v>1140</v>
      </c>
      <c r="L17" s="3558"/>
      <c r="M17" s="3559"/>
      <c r="N17" s="3557" t="s">
        <v>1141</v>
      </c>
      <c r="O17" s="3558"/>
      <c r="P17" s="3559"/>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4" t="s">
        <v>3386</v>
      </c>
      <c r="D19" s="45">
        <f>ROUND($D$3*E19/$E$3,2)</f>
        <v>0</v>
      </c>
      <c r="E19" s="53">
        <f t="shared" ref="E19:E26" si="1">SUM(F19:G19)</f>
        <v>56.8</v>
      </c>
      <c r="F19" s="2792">
        <f>'数据-基础表'!I13</f>
        <v>56.8</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56.8</v>
      </c>
    </row>
    <row r="20" spans="1:19">
      <c r="A20" s="1669"/>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56.8</v>
      </c>
      <c r="F27" s="1140">
        <f>IF(SUM(F19:F26)=E8,SUM(F19:F26),"地上面积有误")</f>
        <v>56.8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56.8</v>
      </c>
    </row>
    <row r="28" spans="1:19">
      <c r="A28" s="1669"/>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5"/>
      <c r="B31" s="1676"/>
      <c r="C31" s="835" t="s">
        <v>1158</v>
      </c>
      <c r="D31" s="676">
        <f>D27+D30</f>
        <v>0</v>
      </c>
      <c r="E31" s="676">
        <f>E27+E30</f>
        <v>56.8</v>
      </c>
      <c r="F31" s="677">
        <f>F27+F30</f>
        <v>56.8</v>
      </c>
      <c r="G31" s="678">
        <f>G27+G30</f>
        <v>0</v>
      </c>
      <c r="H31" s="2656"/>
      <c r="I31" s="2656"/>
      <c r="J31" s="2656"/>
      <c r="K31" s="2656"/>
      <c r="L31" s="2656"/>
      <c r="M31" s="2656"/>
      <c r="N31" s="2656"/>
      <c r="O31" s="2656"/>
      <c r="P31" s="2656"/>
    </row>
    <row r="32" spans="1:19">
      <c r="A32" s="1642"/>
      <c r="B32" s="1642" t="s">
        <v>1159</v>
      </c>
      <c r="C32" s="1642"/>
      <c r="D32" s="1642"/>
      <c r="E32" s="1053">
        <f>SUMIF(C19:C26,"*住宅*",E19:E26)</f>
        <v>56.8</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V6" activePane="bottomRight" state="frozen"/>
      <selection activeCell="C50" sqref="C50"/>
      <selection pane="topRight" activeCell="C50" sqref="C50"/>
      <selection pane="bottomLeft" activeCell="C50" sqref="C50"/>
      <selection pane="bottomRight" activeCell="AE17" sqref="AE17"/>
    </sheetView>
  </sheetViews>
  <sheetFormatPr defaultColWidth="13.625" defaultRowHeight="12.75"/>
  <cols>
    <col min="1" max="1" width="20.875" style="1744" customWidth="1"/>
    <col min="2" max="2" width="12" style="1681" customWidth="1"/>
    <col min="3" max="3" width="12.62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625" style="1681" customWidth="1"/>
    <col min="22" max="22" width="6.375" style="1681" customWidth="1"/>
    <col min="23" max="30" width="6.625" style="1681" customWidth="1"/>
    <col min="31" max="31" width="8" style="1681" customWidth="1"/>
    <col min="32" max="34" width="7.125" style="1681" customWidth="1"/>
    <col min="35" max="39" width="8" style="1681" customWidth="1"/>
    <col min="40" max="40" width="13.625" style="1680"/>
    <col min="41" max="41" width="11.625" style="1680" customWidth="1"/>
    <col min="42" max="42" width="9.625" style="1680" customWidth="1"/>
    <col min="43" max="67" width="13.625" style="1680"/>
    <col min="68" max="16384" width="13.62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5">
        <f>项目基本情况!D3</f>
        <v>45131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3384</v>
      </c>
      <c r="D6" s="858">
        <f>SUMIF(项目基本情况!C$12:I$12,C6,项目基本情况!C$14:I$14)</f>
        <v>70</v>
      </c>
      <c r="E6" s="857">
        <f>IF(B6="","",SUMIF(项目基本情况!C$12:I$12,C6,项目基本情况!C$13:I$13))</f>
        <v>56083</v>
      </c>
      <c r="F6" s="64">
        <f>SUMIF(项目基本情况!C$12:I$12,C6,项目基本情况!C$15:I$15)</f>
        <v>30</v>
      </c>
      <c r="G6" s="65">
        <f>IF(ISERROR(ROUND(POWER(1+H6,D6-F6)*(POWER(1+H6,F6)-1)/(POWER(1+H6,D6)-1),3)),0,ROUND(POWER(1+H6,D6-F6)*(POWER(1+H6,F6)-1)/(POWER(1+H6,D6)-1),3))</f>
        <v>0.73899999999999999</v>
      </c>
      <c r="H6" s="732">
        <v>0.04</v>
      </c>
      <c r="I6" s="732">
        <v>0.04</v>
      </c>
      <c r="J6" s="66">
        <v>6.5000000000000002E-2</v>
      </c>
      <c r="K6" s="1030">
        <f>SUMIF('数据-汇总表'!C$19:C$33,A6,'数据-汇总表'!E$19:E$33)</f>
        <v>56.8</v>
      </c>
      <c r="L6" s="733">
        <v>2800</v>
      </c>
      <c r="M6" s="67">
        <f t="shared" ref="M6:M14" si="0">ROUND(K6*L6/10000,0)</f>
        <v>16</v>
      </c>
      <c r="N6" s="731">
        <v>0.6</v>
      </c>
      <c r="O6" s="67" t="str">
        <f>IF($N$5="成新度","——",ROUND(M6*N6,0))</f>
        <v>——</v>
      </c>
      <c r="P6" s="68" t="str">
        <f>IF($N$5="成新度","——",M6-O6)</f>
        <v>——</v>
      </c>
      <c r="Q6" s="3475">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5">
        <v>6800</v>
      </c>
      <c r="V6" s="70">
        <v>0.03</v>
      </c>
      <c r="W6" s="70">
        <v>0.05</v>
      </c>
      <c r="X6" s="1040"/>
      <c r="Y6" s="71">
        <f>N6</f>
        <v>0.6</v>
      </c>
      <c r="Z6" s="72"/>
      <c r="AA6" s="66"/>
      <c r="AB6" s="66"/>
      <c r="AC6" s="1040"/>
      <c r="AD6" s="73"/>
      <c r="AE6" s="1041">
        <f ca="1">IF(AN6="",0,SUMIF(INDIRECT("'"&amp;AN6&amp;"'"&amp;"!E:E"),$AE$5,INDIRECT("'"&amp;AN6&amp;"'"&amp;"!F:F")))</f>
        <v>40</v>
      </c>
      <c r="AF6" s="1347"/>
      <c r="AG6" s="138">
        <f>IF(AF6="",0,AE6-AF6)</f>
        <v>0</v>
      </c>
      <c r="AH6" s="74">
        <v>1</v>
      </c>
      <c r="AI6" s="76">
        <v>12</v>
      </c>
      <c r="AJ6" s="77"/>
      <c r="AK6" s="78">
        <v>5.0000000000000001E-3</v>
      </c>
      <c r="AL6" s="79">
        <v>5.0000000000000001E-4</v>
      </c>
      <c r="AM6" s="80">
        <v>5.0000000000000001E-3</v>
      </c>
      <c r="AN6" s="1714" t="s">
        <v>3389</v>
      </c>
      <c r="AO6" s="52">
        <f ca="1">SUMIF(INDIRECT("'"&amp;AN6&amp;"'"&amp;"!A:A"),"总价",INDIRECT("'"&amp;AN6&amp;"'"&amp;"!B:B"))</f>
        <v>356.37020000000001</v>
      </c>
      <c r="AP6" s="1715">
        <f>IF(C6="住宅",K6*L6,0)</f>
        <v>159040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0.73899999999999999</v>
      </c>
      <c r="H16" s="90">
        <f>ROUND(SUMPRODUCT(H6:H13,K6:K13)/SUMPRODUCT((H6:H13&gt;0)*(K6:K13)),3)</f>
        <v>0.04</v>
      </c>
      <c r="I16" s="91"/>
      <c r="J16" s="91"/>
      <c r="K16" s="92">
        <f>SUM(K6:K15)</f>
        <v>56.8</v>
      </c>
      <c r="L16" s="93">
        <f>ROUND(M16*10000/SUM(K6:K14),0)</f>
        <v>2817</v>
      </c>
      <c r="M16" s="93">
        <f>SUM(M6:M14)</f>
        <v>16</v>
      </c>
      <c r="N16" s="94">
        <f>ROUND(SUMPRODUCT(M6:M14,N6:N14)/M16,3)</f>
        <v>0.6</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1</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v>1</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v>0</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3387</v>
      </c>
      <c r="B40" s="1078">
        <f ca="1">IF(A40="利息：取LPR",存贷款利率!G1,存贷款利率!G1+C40)</f>
        <v>4.7500000000000001E-2</v>
      </c>
      <c r="C40" s="2811">
        <v>1.0999999999999999E-2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625" style="2489" customWidth="1"/>
    <col min="10" max="10" width="2.625" style="2488" customWidth="1"/>
    <col min="11" max="11" width="11.875" style="2488" customWidth="1"/>
    <col min="12" max="12" width="16.625" style="2489" customWidth="1"/>
    <col min="13" max="13" width="2.625" style="2488" customWidth="1"/>
    <col min="14" max="14" width="11.875" style="2488" customWidth="1"/>
    <col min="15" max="15" width="16.625" style="2489" customWidth="1"/>
    <col min="16" max="16" width="2.625" style="2488" customWidth="1"/>
    <col min="17" max="17" width="11.875" style="2488" customWidth="1"/>
    <col min="18" max="18" width="16.625" style="2490" customWidth="1"/>
    <col min="19" max="29" width="9" style="799"/>
    <col min="30" max="16384" width="9" style="1685"/>
  </cols>
  <sheetData>
    <row r="1" spans="1:29" s="2454" customFormat="1" ht="18.75" thickBot="1">
      <c r="A1" s="3572" t="s">
        <v>2286</v>
      </c>
      <c r="B1" s="3573"/>
      <c r="C1" s="3573"/>
      <c r="D1" s="3573"/>
      <c r="E1" s="3573"/>
      <c r="F1" s="3573"/>
      <c r="G1" s="357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2"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0"/>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tabSelected="1" view="pageBreakPreview" zoomScale="90" zoomScaleSheetLayoutView="90" zoomScalePageLayoutView="80" workbookViewId="0">
      <selection activeCell="L18" sqref="L1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3384</v>
      </c>
      <c r="D1" s="1746"/>
      <c r="E1" s="1746"/>
      <c r="F1" s="1748" t="s">
        <v>1263</v>
      </c>
      <c r="G1" s="1560" t="s">
        <v>3441</v>
      </c>
      <c r="H1" s="1749" t="str">
        <f>IF(G1="现房","——","估价对象范围")</f>
        <v>——</v>
      </c>
      <c r="I1" s="1750"/>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3" t="s">
        <v>1265</v>
      </c>
      <c r="B4" s="1754" t="s">
        <v>1266</v>
      </c>
      <c r="C4" s="1755" t="s">
        <v>3442</v>
      </c>
      <c r="D4" s="1755" t="s">
        <v>3389</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1268</v>
      </c>
      <c r="B5" s="3575">
        <v>25</v>
      </c>
      <c r="C5" s="3591">
        <v>80</v>
      </c>
      <c r="D5" s="3611">
        <f>100-C5</f>
        <v>20</v>
      </c>
      <c r="E5" s="131" t="s">
        <v>1269</v>
      </c>
      <c r="F5" s="1756"/>
      <c r="G5" s="1756"/>
      <c r="H5" s="1756"/>
      <c r="I5" s="1372"/>
    </row>
    <row r="6" spans="1:12" ht="12.75">
      <c r="A6" s="3588"/>
      <c r="B6" s="3575"/>
      <c r="C6" s="3592"/>
      <c r="D6" s="3611"/>
      <c r="E6" s="131" t="s">
        <v>1270</v>
      </c>
      <c r="F6" s="1756"/>
      <c r="G6" s="1756"/>
      <c r="H6" s="1756"/>
      <c r="I6" s="1372"/>
    </row>
    <row r="7" spans="1:12" ht="12.75">
      <c r="A7" s="3588"/>
      <c r="B7" s="3575"/>
      <c r="C7" s="3593"/>
      <c r="D7" s="3611"/>
      <c r="E7" s="131" t="s">
        <v>1271</v>
      </c>
      <c r="F7" s="1756"/>
      <c r="G7" s="1756"/>
      <c r="H7" s="1756"/>
      <c r="I7" s="1372"/>
    </row>
    <row r="8" spans="1:12" ht="12.75">
      <c r="A8" s="3588" t="s">
        <v>1272</v>
      </c>
      <c r="B8" s="3575">
        <v>15</v>
      </c>
      <c r="C8" s="3591"/>
      <c r="D8" s="3611"/>
      <c r="E8" s="131" t="s">
        <v>1273</v>
      </c>
      <c r="F8" s="1756"/>
      <c r="G8" s="1756"/>
      <c r="H8" s="1756"/>
      <c r="I8" s="1372"/>
    </row>
    <row r="9" spans="1:12" ht="12.75">
      <c r="A9" s="3588"/>
      <c r="B9" s="3575"/>
      <c r="C9" s="3593"/>
      <c r="D9" s="3611"/>
      <c r="E9" s="131" t="s">
        <v>1274</v>
      </c>
      <c r="F9" s="1756"/>
      <c r="G9" s="1756"/>
      <c r="H9" s="1756"/>
      <c r="I9" s="1372"/>
    </row>
    <row r="10" spans="1:12" ht="12.75">
      <c r="A10" s="3588" t="s">
        <v>1275</v>
      </c>
      <c r="B10" s="3575">
        <v>15</v>
      </c>
      <c r="C10" s="3591"/>
      <c r="D10" s="3611"/>
      <c r="E10" s="131" t="s">
        <v>1276</v>
      </c>
      <c r="F10" s="1756"/>
      <c r="G10" s="1756"/>
      <c r="H10" s="1756"/>
      <c r="I10" s="1372"/>
    </row>
    <row r="11" spans="1:12" ht="12.75">
      <c r="A11" s="3588"/>
      <c r="B11" s="3575"/>
      <c r="C11" s="3593"/>
      <c r="D11" s="3611"/>
      <c r="E11" s="131" t="s">
        <v>1277</v>
      </c>
      <c r="F11" s="1756"/>
      <c r="G11" s="1756"/>
      <c r="H11" s="1756"/>
      <c r="I11" s="1372"/>
    </row>
    <row r="12" spans="1:12" ht="12.75">
      <c r="A12" s="3588" t="s">
        <v>1278</v>
      </c>
      <c r="B12" s="3575">
        <v>15</v>
      </c>
      <c r="C12" s="3591"/>
      <c r="D12" s="3611"/>
      <c r="E12" s="131" t="s">
        <v>1279</v>
      </c>
      <c r="F12" s="1756"/>
      <c r="G12" s="1756"/>
      <c r="H12" s="1756"/>
      <c r="I12" s="1372"/>
    </row>
    <row r="13" spans="1:12" ht="12.75">
      <c r="A13" s="3588"/>
      <c r="B13" s="3575"/>
      <c r="C13" s="3593"/>
      <c r="D13" s="3611"/>
      <c r="E13" s="131" t="s">
        <v>1280</v>
      </c>
      <c r="F13" s="1756"/>
      <c r="G13" s="1756"/>
      <c r="H13" s="1756"/>
      <c r="I13" s="1372"/>
    </row>
    <row r="14" spans="1:12" ht="12.75">
      <c r="A14" s="3588" t="s">
        <v>1281</v>
      </c>
      <c r="B14" s="3575">
        <v>30</v>
      </c>
      <c r="C14" s="3591"/>
      <c r="D14" s="3611"/>
      <c r="E14" s="131" t="s">
        <v>1282</v>
      </c>
      <c r="F14" s="1756"/>
      <c r="G14" s="1756"/>
      <c r="H14" s="1756"/>
      <c r="I14" s="1372"/>
    </row>
    <row r="15" spans="1:12" ht="12.75">
      <c r="A15" s="3588"/>
      <c r="B15" s="3575"/>
      <c r="C15" s="3592"/>
      <c r="D15" s="3611"/>
      <c r="E15" s="131" t="s">
        <v>1283</v>
      </c>
      <c r="F15" s="1756"/>
      <c r="G15" s="1756"/>
      <c r="H15" s="1756"/>
      <c r="I15" s="1372"/>
    </row>
    <row r="16" spans="1:12" ht="12.75">
      <c r="A16" s="3588"/>
      <c r="B16" s="3575"/>
      <c r="C16" s="3593"/>
      <c r="D16" s="3611"/>
      <c r="E16" s="131" t="s">
        <v>1284</v>
      </c>
      <c r="F16" s="1756"/>
      <c r="G16" s="1756"/>
      <c r="H16" s="1756"/>
      <c r="I16" s="1372"/>
    </row>
    <row r="17" spans="1:36" ht="15">
      <c r="A17" s="1757" t="s">
        <v>1285</v>
      </c>
      <c r="B17" s="56"/>
      <c r="C17" s="132">
        <f>SUM(C5:C16)</f>
        <v>80</v>
      </c>
      <c r="D17" s="132">
        <f>SUM(D5:D16)</f>
        <v>20</v>
      </c>
      <c r="E17" s="129"/>
      <c r="F17" s="129"/>
      <c r="G17" s="129"/>
      <c r="H17" s="129"/>
      <c r="I17" s="129"/>
      <c r="K17" s="302"/>
      <c r="L17" s="302" t="s">
        <v>1286</v>
      </c>
      <c r="M17" s="302" t="s">
        <v>1287</v>
      </c>
    </row>
    <row r="18" spans="1:36" ht="32.1" customHeight="1" thickBot="1">
      <c r="A18" s="1758" t="s">
        <v>1288</v>
      </c>
      <c r="B18" s="1759"/>
      <c r="C18" s="133">
        <f>ROUND(C17/SUM(C17:D17),2)</f>
        <v>0.8</v>
      </c>
      <c r="D18" s="133">
        <f>1-C18</f>
        <v>0.19999999999999996</v>
      </c>
      <c r="E18" s="3598" t="s">
        <v>2131</v>
      </c>
      <c r="F18" s="3599"/>
      <c r="G18" s="3599"/>
      <c r="H18" s="3599"/>
      <c r="I18" s="3599"/>
      <c r="K18" s="302" t="s">
        <v>1289</v>
      </c>
      <c r="L18" s="302">
        <f>IF(C1="",'数据-汇总表'!E3,SUMIF(项目类型,C1,'数据-汇总表'!E17:E26)+SUMIF(项目类型,C1,'数据-汇总表'!I17:I26))</f>
        <v>56.8</v>
      </c>
      <c r="M18" s="302">
        <f>IF(C1="",'数据-汇总表'!E3,SUMIF(项目类型,C1,'数据-汇总表'!E17:E26))</f>
        <v>56.8</v>
      </c>
    </row>
    <row r="19" spans="1:36" ht="15">
      <c r="A19" s="1760" t="s">
        <v>1290</v>
      </c>
      <c r="B19" s="1761" t="s">
        <v>1291</v>
      </c>
      <c r="C19" s="134">
        <f ca="1">SUMIF(INDIRECT("'"&amp;C4&amp;"'"&amp;"!A:A"),结果表!B19,INDIRECT("'"&amp;C4&amp;"'"&amp;"!B:B"))</f>
        <v>716.8614</v>
      </c>
      <c r="D19" s="135">
        <f ca="1">SUMIF(INDIRECT("'"&amp;D4&amp;"'"&amp;"!A:A"),结果表!B19,INDIRECT("'"&amp;D4&amp;"'"&amp;"!B:B"))</f>
        <v>356.37020000000001</v>
      </c>
      <c r="E19" s="1760" t="s">
        <v>1292</v>
      </c>
      <c r="F19" s="1761" t="s">
        <v>1291</v>
      </c>
      <c r="G19" s="136">
        <f ca="1">ROUND(C19*$C$18+D19*$D$18,0)</f>
        <v>645</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126208</v>
      </c>
      <c r="D20" s="138">
        <f ca="1">SUMIF(INDIRECT("'"&amp;D4&amp;"'"&amp;"!A:A"),结果表!B20,INDIRECT("'"&amp;D4&amp;"'"&amp;"!B:B"))</f>
        <v>62741</v>
      </c>
      <c r="E20" s="1763"/>
      <c r="F20" s="1026" t="s">
        <v>1295</v>
      </c>
      <c r="G20" s="139">
        <f ca="1">ROUND(C20*$C$18+D20*$D$18,0)</f>
        <v>113515</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1.0115638176256039</v>
      </c>
      <c r="E22" s="129"/>
      <c r="F22" s="129"/>
      <c r="G22" s="129">
        <f ca="1">G20*'数据-汇总表'!E3/10000</f>
        <v>644.76520000000005</v>
      </c>
      <c r="H22" s="129"/>
      <c r="I22" s="129"/>
    </row>
    <row r="23" spans="1:36" ht="13.5" thickBot="1">
      <c r="A23" s="1746"/>
      <c r="B23" s="1746"/>
      <c r="C23" s="1746"/>
      <c r="D23" s="1746"/>
      <c r="E23" s="129"/>
      <c r="F23" s="129"/>
      <c r="G23" s="129"/>
      <c r="H23" s="129"/>
      <c r="I23" s="129"/>
    </row>
    <row r="24" spans="1:36" ht="14.25">
      <c r="A24" s="3582" t="s">
        <v>1299</v>
      </c>
      <c r="B24" s="1761" t="s">
        <v>1291</v>
      </c>
      <c r="C24" s="136">
        <f>IF(B30=0,0,D30)</f>
        <v>0</v>
      </c>
      <c r="D24" s="1768"/>
      <c r="E24" s="129"/>
      <c r="F24" s="129"/>
      <c r="G24" s="129"/>
      <c r="H24" s="129"/>
      <c r="I24" s="129"/>
    </row>
    <row r="25" spans="1:36" ht="14.25">
      <c r="A25" s="3583"/>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1305</v>
      </c>
      <c r="B32" s="1773"/>
      <c r="C32" s="144">
        <f ca="1">IF(D32="总价",G19-C24,G20-C25)</f>
        <v>113515</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02" t="s">
        <v>1312</v>
      </c>
      <c r="B36" s="1786" t="s">
        <v>1313</v>
      </c>
      <c r="C36" s="145"/>
      <c r="D36" s="1787"/>
      <c r="E36" s="1788"/>
      <c r="F36" s="1789"/>
      <c r="G36" s="129"/>
      <c r="H36" s="129"/>
      <c r="I36" s="129"/>
    </row>
    <row r="37" spans="1:15" ht="15.75" thickBot="1">
      <c r="A37" s="3603"/>
      <c r="B37" s="1673" t="s">
        <v>1314</v>
      </c>
      <c r="C37" s="147"/>
      <c r="D37" s="1139"/>
      <c r="E37" s="1139"/>
      <c r="F37" s="1789"/>
      <c r="G37" s="129"/>
      <c r="H37" s="129"/>
      <c r="I37" s="129"/>
    </row>
    <row r="38" spans="1:15" ht="15.75" thickBot="1">
      <c r="A38" s="3604"/>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9" t="s">
        <v>1326</v>
      </c>
      <c r="B45" s="3580"/>
      <c r="C45" s="3581"/>
      <c r="D45" s="155" t="e">
        <f ca="1">ROUND(H101*F45,0)</f>
        <v>#REF!</v>
      </c>
      <c r="E45" s="156" t="s">
        <v>1327</v>
      </c>
      <c r="F45" s="157">
        <v>1</v>
      </c>
      <c r="G45" s="158" t="s">
        <v>1328</v>
      </c>
      <c r="H45" s="129"/>
      <c r="I45" s="129"/>
      <c r="J45" s="3657" t="s">
        <v>1329</v>
      </c>
      <c r="K45" s="3657"/>
      <c r="L45" s="3657"/>
      <c r="M45" s="3657"/>
      <c r="N45" s="3657"/>
      <c r="O45" s="3657"/>
    </row>
    <row r="46" spans="1:15" ht="14.25" customHeight="1">
      <c r="A46" s="3576" t="s">
        <v>1330</v>
      </c>
      <c r="B46" s="3577"/>
      <c r="C46" s="3577"/>
      <c r="D46" s="3577"/>
      <c r="E46" s="3577"/>
      <c r="F46" s="3577"/>
      <c r="G46" s="3578"/>
      <c r="H46" s="1805"/>
      <c r="I46" s="159"/>
      <c r="J46" s="2520">
        <v>1</v>
      </c>
      <c r="K46" s="3638" t="s">
        <v>1331</v>
      </c>
      <c r="L46" s="3638"/>
      <c r="M46" s="3658"/>
      <c r="N46" s="3658"/>
      <c r="O46" s="3658"/>
    </row>
    <row r="47" spans="1:15" ht="12" customHeight="1">
      <c r="A47" s="160" t="s">
        <v>1332</v>
      </c>
      <c r="B47" s="161"/>
      <c r="C47" s="162"/>
      <c r="D47" s="1087" t="s">
        <v>1333</v>
      </c>
      <c r="E47" s="302" t="s">
        <v>1334</v>
      </c>
      <c r="F47" s="163" t="s">
        <v>1335</v>
      </c>
      <c r="G47" s="2543" t="s">
        <v>1336</v>
      </c>
      <c r="H47" s="2544"/>
      <c r="I47" s="159"/>
      <c r="J47" s="2520">
        <v>2</v>
      </c>
      <c r="K47" s="3638" t="s">
        <v>1337</v>
      </c>
      <c r="L47" s="3638"/>
      <c r="M47" s="3659">
        <f>'数据-取费表'!B2</f>
        <v>45131</v>
      </c>
      <c r="N47" s="3659"/>
      <c r="O47" s="3659"/>
    </row>
    <row r="48" spans="1:15" ht="25.5">
      <c r="A48" s="3607" t="s">
        <v>1338</v>
      </c>
      <c r="B48" s="3590"/>
      <c r="C48" s="3590"/>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5"/>
      <c r="J48" s="2520">
        <v>3</v>
      </c>
      <c r="K48" s="3638" t="s">
        <v>1340</v>
      </c>
      <c r="L48" s="3638"/>
      <c r="M48" s="3660" t="e">
        <f ca="1">H101</f>
        <v>#REF!</v>
      </c>
      <c r="N48" s="3660"/>
      <c r="O48" s="3660"/>
    </row>
    <row r="49" spans="1:35" ht="25.5" customHeight="1">
      <c r="A49" s="2330" t="s">
        <v>1341</v>
      </c>
      <c r="B49" s="3574" t="s">
        <v>1342</v>
      </c>
      <c r="C49" s="3574"/>
      <c r="D49" s="1589">
        <v>0</v>
      </c>
      <c r="E49" s="324" t="s">
        <v>1343</v>
      </c>
      <c r="F49" s="2421" t="s">
        <v>28</v>
      </c>
      <c r="G49" s="3644"/>
      <c r="H49" s="2307" t="s">
        <v>2134</v>
      </c>
      <c r="I49" s="2308"/>
      <c r="J49" s="2520">
        <v>4</v>
      </c>
      <c r="K49" s="3638" t="str">
        <f>IF(项目基本情况!E8="房地产抵押价值","房地产抵押价值","抵押担保权已注销时的房地产抵押价值")</f>
        <v>抵押担保权已注销时的房地产抵押价值</v>
      </c>
      <c r="L49" s="3638"/>
      <c r="M49" s="3660" t="str">
        <f>IF(项目基本情况!E8="房地产抵押价值",H107,H109)</f>
        <v>——</v>
      </c>
      <c r="N49" s="3660"/>
      <c r="O49" s="3660"/>
    </row>
    <row r="50" spans="1:35" ht="25.5" customHeight="1">
      <c r="A50" s="2548"/>
      <c r="B50" s="3574" t="s">
        <v>1344</v>
      </c>
      <c r="C50" s="3574"/>
      <c r="D50" s="2549"/>
      <c r="E50" s="332"/>
      <c r="F50" s="2421"/>
      <c r="G50" s="3645"/>
      <c r="H50" s="2309" t="s">
        <v>2135</v>
      </c>
      <c r="I50" s="2308"/>
      <c r="J50" s="3657" t="s">
        <v>1345</v>
      </c>
      <c r="K50" s="3657"/>
      <c r="L50" s="3657"/>
      <c r="M50" s="3657"/>
      <c r="N50" s="3657"/>
      <c r="O50" s="3657"/>
    </row>
    <row r="51" spans="1:35" ht="20.45" customHeight="1">
      <c r="A51" s="2550"/>
      <c r="B51" s="3574" t="s">
        <v>1346</v>
      </c>
      <c r="C51" s="3574"/>
      <c r="D51" s="1087"/>
      <c r="E51" s="327"/>
      <c r="F51" s="2421"/>
      <c r="G51" s="3646"/>
      <c r="H51" s="2309" t="s">
        <v>2136</v>
      </c>
      <c r="I51" s="2308"/>
      <c r="J51" s="2521" t="s">
        <v>1347</v>
      </c>
      <c r="K51" s="3638" t="s">
        <v>1348</v>
      </c>
      <c r="L51" s="3638"/>
      <c r="M51" s="2521" t="s">
        <v>1349</v>
      </c>
      <c r="N51" s="2521" t="s">
        <v>1350</v>
      </c>
      <c r="O51" s="2521" t="s">
        <v>1351</v>
      </c>
    </row>
    <row r="52" spans="1:35" ht="24" customHeight="1">
      <c r="A52" s="2332" t="s">
        <v>1352</v>
      </c>
      <c r="B52" s="3574" t="s">
        <v>1353</v>
      </c>
      <c r="C52" s="3574"/>
      <c r="D52" s="1087" t="e">
        <f ca="1">ROUND(D45*'数据-取费表'!B41/(1+'数据-取费表'!C42),0)</f>
        <v>#REF!</v>
      </c>
      <c r="E52" s="2331" t="s">
        <v>1354</v>
      </c>
      <c r="F52" s="2551">
        <f>'数据-取费表'!B41</f>
        <v>5.6000000000000001E-2</v>
      </c>
      <c r="G52" s="2552"/>
      <c r="H52" s="2541"/>
      <c r="I52" s="1806"/>
      <c r="J52" s="2520">
        <v>1</v>
      </c>
      <c r="K52" s="3639" t="s">
        <v>1355</v>
      </c>
      <c r="L52" s="3639"/>
      <c r="M52" s="2522" t="b">
        <f>D48</f>
        <v>0</v>
      </c>
      <c r="N52" s="2520" t="str">
        <f>E48</f>
        <v>销售额×税（费）率</v>
      </c>
      <c r="O52" s="2523">
        <f>F48</f>
        <v>5.6000000000000001E-2</v>
      </c>
    </row>
    <row r="53" spans="1:35" ht="12" customHeight="1">
      <c r="A53" s="2332" t="s">
        <v>1356</v>
      </c>
      <c r="B53" s="3600" t="s">
        <v>2291</v>
      </c>
      <c r="C53" s="3601"/>
      <c r="D53" s="1087" t="e">
        <f ca="1">ROUND(D45*'数据-取费表'!B41/(1+'数据-取费表'!C42),0)</f>
        <v>#REF!</v>
      </c>
      <c r="E53" s="2331" t="s">
        <v>1354</v>
      </c>
      <c r="F53" s="2551">
        <f>'数据-取费表'!B41</f>
        <v>5.6000000000000001E-2</v>
      </c>
      <c r="G53" s="2552"/>
      <c r="H53" s="2541"/>
      <c r="I53" s="1806"/>
      <c r="J53" s="2520">
        <v>2</v>
      </c>
      <c r="K53" s="3639" t="s">
        <v>1357</v>
      </c>
      <c r="L53" s="3639"/>
      <c r="M53" s="2522" t="e">
        <f t="shared" ref="M53:O54" ca="1" si="0">D55</f>
        <v>#REF!</v>
      </c>
      <c r="N53" s="2520" t="str">
        <f t="shared" si="0"/>
        <v>销售额×税（费）率</v>
      </c>
      <c r="O53" s="2523" t="str">
        <f t="shared" si="0"/>
        <v>免征</v>
      </c>
    </row>
    <row r="54" spans="1:35" ht="12" customHeight="1">
      <c r="A54" s="2332" t="s">
        <v>1358</v>
      </c>
      <c r="B54" s="3600" t="s">
        <v>2292</v>
      </c>
      <c r="C54" s="3601"/>
      <c r="D54" s="1087" t="e">
        <f ca="1">C68</f>
        <v>#REF!</v>
      </c>
      <c r="E54" s="327" t="s">
        <v>1359</v>
      </c>
      <c r="F54" s="2551">
        <f>'数据-取费表'!B41</f>
        <v>5.6000000000000001E-2</v>
      </c>
      <c r="G54" s="2552"/>
      <c r="H54" s="2553"/>
      <c r="I54" s="1806"/>
      <c r="J54" s="2520">
        <v>3</v>
      </c>
      <c r="K54" s="3639" t="s">
        <v>1360</v>
      </c>
      <c r="L54" s="3639"/>
      <c r="M54" s="2522" t="e">
        <f t="shared" ca="1" si="0"/>
        <v>#REF!</v>
      </c>
      <c r="N54" s="2520" t="str">
        <f t="shared" si="0"/>
        <v>增值额×税（费）率</v>
      </c>
      <c r="O54" s="2524" t="str">
        <f t="shared" si="0"/>
        <v>免征</v>
      </c>
    </row>
    <row r="55" spans="1:35" ht="24" customHeight="1">
      <c r="A55" s="3589" t="s">
        <v>1361</v>
      </c>
      <c r="B55" s="3590"/>
      <c r="C55" s="3590"/>
      <c r="D55" s="2321" t="e">
        <f ca="1">IF(H55="个人住宅",0,ROUND(D45*I55,0))</f>
        <v>#REF!</v>
      </c>
      <c r="E55" s="2331" t="s">
        <v>1362</v>
      </c>
      <c r="F55" s="2551" t="str">
        <f>IF(H55="正常",I55,"免征")</f>
        <v>免征</v>
      </c>
      <c r="G55" s="2552"/>
      <c r="H55" s="2547"/>
      <c r="I55" s="165">
        <f>'数据-取费表'!B49</f>
        <v>5.0000000000000001E-4</v>
      </c>
      <c r="J55" s="2520">
        <f>IF(H59="非个人房产","",4)</f>
        <v>4</v>
      </c>
      <c r="K55" s="3639" t="str">
        <f>IF(H59="非个人房产","——","个人所得税")</f>
        <v>个人所得税</v>
      </c>
      <c r="L55" s="3639"/>
      <c r="M55" s="2525" t="e">
        <f ca="1">D59</f>
        <v>#REF!</v>
      </c>
      <c r="N55" s="2037" t="str">
        <f>E59</f>
        <v>差额计税</v>
      </c>
      <c r="O55" s="2526">
        <f>F59</f>
        <v>0.01</v>
      </c>
    </row>
    <row r="56" spans="1:35" ht="24.75">
      <c r="A56" s="3589" t="s">
        <v>1363</v>
      </c>
      <c r="B56" s="3590"/>
      <c r="C56" s="3590"/>
      <c r="D56" s="2321" t="e">
        <f ca="1">IF(H56="个人住宅",D57,D58)</f>
        <v>#REF!</v>
      </c>
      <c r="E56" s="2331" t="s">
        <v>1364</v>
      </c>
      <c r="F56" s="2551" t="str">
        <f>IF(H56="正常",F58,"免征")</f>
        <v>免征</v>
      </c>
      <c r="G56" s="2554" t="s">
        <v>1365</v>
      </c>
      <c r="H56" s="2555"/>
      <c r="I56" s="1807"/>
      <c r="J56" s="2520" t="str">
        <f>IF(项目基本情况!K6="上海银行",IF(J55="",4,J55+1),"")</f>
        <v/>
      </c>
      <c r="K56" s="3662" t="str">
        <f>IF(项目基本情况!K6="上海银行","其他处置费用","")</f>
        <v/>
      </c>
      <c r="L56" s="3663"/>
      <c r="M56" s="2522" t="str">
        <f>IF(项目基本情况!K6="上海银行",M69,"")</f>
        <v/>
      </c>
      <c r="N56" s="3662" t="str">
        <f>IF(项目基本情况!K6="上海银行","包含处置中涉及的律师、诉讼、拍卖、评估等费用","")</f>
        <v/>
      </c>
      <c r="O56" s="3665"/>
    </row>
    <row r="57" spans="1:35" ht="12.75">
      <c r="A57" s="2332" t="s">
        <v>1341</v>
      </c>
      <c r="B57" s="3600" t="s">
        <v>1366</v>
      </c>
      <c r="C57" s="3601"/>
      <c r="D57" s="1589">
        <v>0</v>
      </c>
      <c r="E57" s="324" t="s">
        <v>1343</v>
      </c>
      <c r="F57" s="302"/>
      <c r="G57" s="2552"/>
      <c r="H57" s="2556"/>
      <c r="I57" s="1807"/>
      <c r="J57" s="3639">
        <f>IF(AND(J55="",J56=""),4,IF(项目基本情况!K6="上海银行",结果表!J56+1,结果表!J55+1))</f>
        <v>5</v>
      </c>
      <c r="K57" s="3639" t="s">
        <v>1367</v>
      </c>
      <c r="L57" s="2527" t="s">
        <v>1368</v>
      </c>
      <c r="M57" s="2528"/>
      <c r="N57" s="2529">
        <f ca="1">SUMIF(M52:M56,"&lt;9e307")</f>
        <v>0</v>
      </c>
      <c r="O57" s="2530"/>
      <c r="P57" s="2687" t="e">
        <f ca="1">N57/M49</f>
        <v>#VALUE!</v>
      </c>
    </row>
    <row r="58" spans="1:35" ht="24.75">
      <c r="A58" s="2332" t="s">
        <v>1352</v>
      </c>
      <c r="B58" s="3600" t="s">
        <v>1369</v>
      </c>
      <c r="C58" s="3574"/>
      <c r="D58" s="2321" t="e">
        <f ca="1">IF(H58="转让取得",C81,C97)</f>
        <v>#REF!</v>
      </c>
      <c r="E58" s="2331" t="s">
        <v>1364</v>
      </c>
      <c r="F58" s="302" t="s">
        <v>28</v>
      </c>
      <c r="G58" s="2552"/>
      <c r="H58" s="2555"/>
      <c r="I58" s="1807"/>
      <c r="J58" s="3639"/>
      <c r="K58" s="3639"/>
      <c r="L58" s="2527" t="s">
        <v>1370</v>
      </c>
      <c r="M58" s="2531"/>
      <c r="N58" s="2532" t="str">
        <f ca="1">NUMBERSTRING(INT(N57*10000),2)&amp;"元整"</f>
        <v>零元整</v>
      </c>
      <c r="O58" s="2533"/>
    </row>
    <row r="59" spans="1:35" ht="24.75" thickBot="1">
      <c r="A59" s="3642" t="s">
        <v>1371</v>
      </c>
      <c r="B59" s="3643"/>
      <c r="C59" s="3643"/>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40">
        <f>J57+1</f>
        <v>6</v>
      </c>
      <c r="K59" s="3639" t="s">
        <v>1372</v>
      </c>
      <c r="L59" s="2520" t="s">
        <v>1368</v>
      </c>
      <c r="M59" s="2534"/>
      <c r="N59" s="2535" t="e">
        <f ca="1">M49-N57</f>
        <v>#VALUE!</v>
      </c>
      <c r="O59" s="2536"/>
    </row>
    <row r="60" spans="1:35" ht="12" customHeight="1">
      <c r="A60" s="1808"/>
      <c r="B60" s="1746"/>
      <c r="C60" s="1746"/>
      <c r="D60" s="1746"/>
      <c r="E60" s="1577"/>
      <c r="F60" s="1807"/>
      <c r="G60" s="1807"/>
      <c r="H60" s="1809"/>
      <c r="I60" s="129"/>
      <c r="J60" s="3641"/>
      <c r="K60" s="3639"/>
      <c r="L60" s="2527" t="s">
        <v>1370</v>
      </c>
      <c r="M60" s="2531"/>
      <c r="N60" s="2532" t="e">
        <f ca="1">NUMBERSTRING(INT(N59*10000),2)&amp;"元整"</f>
        <v>#VALUE!</v>
      </c>
      <c r="O60" s="2533"/>
    </row>
    <row r="61" spans="1:35" ht="13.5" thickBot="1">
      <c r="A61" s="3587" t="s">
        <v>1373</v>
      </c>
      <c r="B61" s="3587"/>
      <c r="C61" s="3587"/>
      <c r="D61" s="3587"/>
      <c r="E61" s="3587"/>
      <c r="F61" s="1807"/>
      <c r="G61" s="1807"/>
      <c r="H61" s="1809"/>
      <c r="I61" s="129"/>
      <c r="J61" s="2520">
        <f>J59+1</f>
        <v>7</v>
      </c>
      <c r="K61" s="3639" t="s">
        <v>1374</v>
      </c>
      <c r="L61" s="3639"/>
      <c r="M61" s="2537"/>
      <c r="N61" s="2538" t="e">
        <f ca="1">ROUND(N59*10000/'数据-汇总表'!E3,0)</f>
        <v>#VALUE!</v>
      </c>
      <c r="O61" s="2539"/>
    </row>
    <row r="62" spans="1:35" ht="12.75">
      <c r="A62" s="3605" t="s">
        <v>1375</v>
      </c>
      <c r="B62" s="3606"/>
      <c r="C62" s="2018"/>
      <c r="D62" s="2018" t="s">
        <v>1376</v>
      </c>
      <c r="E62" s="166" t="s">
        <v>1377</v>
      </c>
      <c r="F62" s="1807"/>
      <c r="G62" s="1807"/>
      <c r="H62" s="1809"/>
      <c r="I62" s="129"/>
    </row>
    <row r="63" spans="1:35" ht="12.75">
      <c r="A63" s="173" t="s">
        <v>330</v>
      </c>
      <c r="B63" s="167" t="s">
        <v>1378</v>
      </c>
      <c r="C63" s="2561" t="e">
        <f ca="1">ROUND((C64+C65)/(1+'数据-取费表'!C42),0)</f>
        <v>#REF!</v>
      </c>
      <c r="D63" s="167"/>
      <c r="E63" s="168"/>
      <c r="F63" s="1807"/>
      <c r="G63" s="1807"/>
      <c r="H63" s="1809"/>
      <c r="I63" s="129"/>
      <c r="J63" s="3664" t="s">
        <v>1379</v>
      </c>
      <c r="K63" s="1331" t="s">
        <v>1380</v>
      </c>
      <c r="L63" s="1331" t="e">
        <f>IF(M49&gt;10000,M49*0.5%,IF(AND(M49&gt;1000,M49&lt;=10000),M49*1%,IF(AND(M49&gt;100,M49&lt;=1000),M49*3%,IF(AND(M49&gt;10,M49&lt;=100),M49*5%,M49*8%))))</f>
        <v>#VALUE!</v>
      </c>
      <c r="M63" s="302" t="e">
        <f>ROUND(L63,1)</f>
        <v>#VALUE!</v>
      </c>
      <c r="N63" s="2540"/>
      <c r="Z63" s="1751"/>
      <c r="AI63" s="1752"/>
    </row>
    <row r="64" spans="1:35" ht="14.25" customHeight="1">
      <c r="A64" s="169" t="s">
        <v>325</v>
      </c>
      <c r="B64" s="170" t="s">
        <v>1381</v>
      </c>
      <c r="C64" s="2562" t="e">
        <f ca="1">D45</f>
        <v>#REF!</v>
      </c>
      <c r="D64" s="170" t="s">
        <v>26</v>
      </c>
      <c r="E64" s="172"/>
      <c r="F64" s="1807"/>
      <c r="G64" s="1807"/>
      <c r="H64" s="1809"/>
      <c r="I64" s="129"/>
      <c r="J64" s="3664"/>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1"/>
      <c r="AI64" s="1752"/>
    </row>
    <row r="65" spans="1:35" ht="14.25" customHeight="1">
      <c r="A65" s="169" t="s">
        <v>326</v>
      </c>
      <c r="B65" s="170" t="s">
        <v>1384</v>
      </c>
      <c r="C65" s="2563"/>
      <c r="D65" s="170"/>
      <c r="E65" s="172"/>
      <c r="F65" s="1807"/>
      <c r="G65" s="1807"/>
      <c r="H65" s="1809"/>
      <c r="I65" s="129"/>
      <c r="J65" s="3664"/>
      <c r="K65" s="1331" t="s">
        <v>1385</v>
      </c>
      <c r="L65" s="1331" t="e">
        <f>IF(M49&gt;1000,M49*0.1%,IF(AND(M49&gt;500,M49&lt;=1000),M49*0.5%,IF(AND(M49&gt;50,M49&lt;=500),M49*1%,IF(AND(M49&gt;1,M49&lt;=50),M49*1.5%))))</f>
        <v>#VALUE!</v>
      </c>
      <c r="M65" s="302" t="e">
        <f t="shared" si="1"/>
        <v>#VALUE!</v>
      </c>
      <c r="N65" s="2541" t="s">
        <v>1383</v>
      </c>
      <c r="Z65" s="1751"/>
      <c r="AI65" s="1752"/>
    </row>
    <row r="66" spans="1:35" ht="14.25" customHeight="1">
      <c r="A66" s="173" t="s">
        <v>327</v>
      </c>
      <c r="B66" s="174" t="s">
        <v>1386</v>
      </c>
      <c r="C66" s="2564"/>
      <c r="D66" s="174" t="s">
        <v>26</v>
      </c>
      <c r="E66" s="1337" t="s">
        <v>671</v>
      </c>
      <c r="F66" s="1807"/>
      <c r="G66" s="1807"/>
      <c r="H66" s="1809"/>
      <c r="I66" s="129"/>
      <c r="J66" s="3664"/>
      <c r="K66" s="1331" t="s">
        <v>1387</v>
      </c>
      <c r="L66" s="1331" t="e">
        <f>M49*0.5%</f>
        <v>#VALUE!</v>
      </c>
      <c r="M66" s="302" t="e">
        <f>IF(L66&gt;0.5,0.5,ROUND(L66,0))</f>
        <v>#VALUE!</v>
      </c>
      <c r="N66" s="2541" t="s">
        <v>1388</v>
      </c>
      <c r="Z66" s="1751"/>
      <c r="AI66" s="1752"/>
    </row>
    <row r="67" spans="1:35" ht="14.25" customHeight="1">
      <c r="A67" s="173" t="s">
        <v>328</v>
      </c>
      <c r="B67" s="174" t="s">
        <v>1389</v>
      </c>
      <c r="C67" s="2565" t="e">
        <f ca="1">C63-C66</f>
        <v>#REF!</v>
      </c>
      <c r="D67" s="170" t="s">
        <v>26</v>
      </c>
      <c r="E67" s="172"/>
      <c r="F67" s="1807"/>
      <c r="G67" s="1807"/>
      <c r="H67" s="1809"/>
      <c r="I67" s="129"/>
      <c r="J67" s="3664"/>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1"/>
      <c r="AI67" s="1752"/>
    </row>
    <row r="68" spans="1:35" ht="14.25" customHeight="1" thickBot="1">
      <c r="A68" s="176" t="s">
        <v>329</v>
      </c>
      <c r="B68" s="177" t="s">
        <v>1391</v>
      </c>
      <c r="C68" s="2566" t="e">
        <f ca="1">IF(C67&lt;=0,0,ROUND(C67*D68,0))</f>
        <v>#REF!</v>
      </c>
      <c r="D68" s="2567">
        <f>'数据-取费表'!B41</f>
        <v>5.6000000000000001E-2</v>
      </c>
      <c r="E68" s="178"/>
      <c r="F68" s="1807"/>
      <c r="G68" s="1807"/>
      <c r="H68" s="1809"/>
      <c r="I68" s="129"/>
      <c r="J68" s="3664"/>
      <c r="K68" s="1331" t="s">
        <v>1392</v>
      </c>
      <c r="L68" s="1331" t="e">
        <f>IF(M49&gt;10000,M49*0.5%,IF(AND(M49&gt;5000,M49&lt;=10000),M49*1%,IF(AND(M49&gt;1000,M49&lt;=5000),M49*2%,IF(AND(M49&gt;200,M49&lt;=1000),M49*3%,M49*5%))))</f>
        <v>#VALUE!</v>
      </c>
      <c r="M68" s="302" t="e">
        <f>ROUND(L68,1)</f>
        <v>#VALUE!</v>
      </c>
      <c r="N68" s="2540"/>
      <c r="Z68" s="1751"/>
      <c r="AI68" s="1752"/>
    </row>
    <row r="69" spans="1:35" s="1771" customFormat="1" ht="16.5" customHeight="1">
      <c r="A69" s="1810"/>
      <c r="B69" s="1811"/>
      <c r="C69" s="1812"/>
      <c r="D69" s="1813"/>
      <c r="E69" s="1814"/>
      <c r="F69" s="1577"/>
      <c r="G69" s="1577"/>
      <c r="H69" s="1576"/>
      <c r="I69" s="1746"/>
      <c r="J69" s="3664"/>
      <c r="K69" s="1331" t="s">
        <v>1393</v>
      </c>
      <c r="L69" s="1331"/>
      <c r="M69" s="302" t="e">
        <f>ROUND(SUM(M63:M68),0)</f>
        <v>#VALUE!</v>
      </c>
      <c r="N69" s="2542"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6" t="s">
        <v>1394</v>
      </c>
      <c r="B70" s="3627"/>
      <c r="C70" s="3627"/>
      <c r="D70" s="3627"/>
      <c r="E70" s="3627"/>
      <c r="F70" s="3627"/>
      <c r="G70" s="3627"/>
      <c r="H70" s="3627"/>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5" t="s">
        <v>1375</v>
      </c>
      <c r="B71" s="3606"/>
      <c r="C71" s="2018"/>
      <c r="D71" s="2018"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5" t="e">
        <f ca="1">ROUND(D45/(1+'数据-取费表'!C42),0)</f>
        <v>#REF!</v>
      </c>
      <c r="D72" s="170" t="s">
        <v>26</v>
      </c>
      <c r="E72" s="2328"/>
      <c r="F72" s="2327"/>
      <c r="G72" s="2327"/>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5" t="e">
        <f ca="1">C74+C78</f>
        <v>#REF!</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1">
        <v>0.05</v>
      </c>
      <c r="E76" s="3600" t="s">
        <v>1402</v>
      </c>
      <c r="F76" s="3574"/>
      <c r="G76" s="3574"/>
      <c r="H76" s="362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3" t="e">
        <f ca="1">ROUND(D45*D78/(1+'数据-取费表'!C42),0)</f>
        <v>#REF!</v>
      </c>
      <c r="D78" s="2574">
        <f>'数据-取费表'!B43</f>
        <v>6.000000000000001E-3</v>
      </c>
      <c r="E78" s="3584" t="s">
        <v>1406</v>
      </c>
      <c r="F78" s="3585"/>
      <c r="G78" s="3585"/>
      <c r="H78" s="35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5" t="e">
        <f ca="1">C72-C73</f>
        <v>#REF!</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6" t="s">
        <v>1410</v>
      </c>
      <c r="B83" s="3627"/>
      <c r="C83" s="3627"/>
      <c r="D83" s="3627"/>
      <c r="E83" s="3627"/>
      <c r="F83" s="3627"/>
      <c r="G83" s="3627"/>
      <c r="H83" s="362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5" t="s">
        <v>1375</v>
      </c>
      <c r="B84" s="3606"/>
      <c r="C84" s="2018"/>
      <c r="D84" s="201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5" t="e">
        <f ca="1">ROUND(D45/(1+'数据-取费表'!C42),0)</f>
        <v>#REF!</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5" t="e">
        <f ca="1">IF(H88="仅含出让金",C87+C90+C91+C92+C93+C94,C87+C91+C92+C93+C94)</f>
        <v>#REF!</v>
      </c>
      <c r="D86" s="2578"/>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3">
        <f>C88+C89</f>
        <v>0</v>
      </c>
      <c r="D87" s="2574"/>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9"/>
      <c r="D88" s="2574"/>
      <c r="E88" s="193" t="s">
        <v>1413</v>
      </c>
      <c r="F88" s="2324"/>
      <c r="G88" s="194" t="s">
        <v>1414</v>
      </c>
      <c r="H88" s="1823"/>
      <c r="I88" s="1820"/>
      <c r="J88" s="2518"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3">
        <f>ROUND(C88*D89,0)</f>
        <v>0</v>
      </c>
      <c r="D89" s="2574">
        <f>'数据-取费表'!B48+'数据-取费表'!B49</f>
        <v>3.0499999999999999E-2</v>
      </c>
      <c r="E89" s="193" t="s">
        <v>1415</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9"/>
      <c r="D90" s="2574"/>
      <c r="E90" s="193" t="str">
        <f>IF(H88="-","土地取得成本中已包含该笔费用"," ")</f>
        <v xml:space="preserve"> </v>
      </c>
      <c r="F90" s="2324"/>
      <c r="G90" s="3666" t="s">
        <v>2129</v>
      </c>
      <c r="H90" s="3667"/>
      <c r="I90" s="1820"/>
      <c r="J90" s="2518"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3">
        <f>IF(H91="——",成本法!C33,I91)</f>
        <v>0</v>
      </c>
      <c r="D91" s="2574"/>
      <c r="E91" s="3584" t="s">
        <v>1419</v>
      </c>
      <c r="F91" s="3585"/>
      <c r="G91" s="358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3">
        <f>ROUND((C87+C90+C91)*D92,0)</f>
        <v>0</v>
      </c>
      <c r="D92" s="2580"/>
      <c r="E92" s="3584" t="s">
        <v>1422</v>
      </c>
      <c r="F92" s="3585"/>
      <c r="G92" s="3585"/>
      <c r="H92" s="3594"/>
      <c r="I92" s="1820"/>
      <c r="J92" s="2519"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3" t="e">
        <f ca="1">ROUND(D45*D93/(1+'数据-取费表'!C42),0)</f>
        <v>#REF!</v>
      </c>
      <c r="D93" s="2574">
        <f>'数据-取费表'!B43</f>
        <v>6.000000000000001E-3</v>
      </c>
      <c r="E93" s="3584" t="s">
        <v>1406</v>
      </c>
      <c r="F93" s="3585"/>
      <c r="G93" s="3585"/>
      <c r="H93" s="35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9">
        <f>ROUND((C87+C90+C91)*D94,0)</f>
        <v>0</v>
      </c>
      <c r="D94" s="2574">
        <v>0.2</v>
      </c>
      <c r="E94" s="3595" t="s">
        <v>1426</v>
      </c>
      <c r="F94" s="3596"/>
      <c r="G94" s="3596"/>
      <c r="H94" s="359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5" t="e">
        <f ca="1">ROUND(C85-C86,0)</f>
        <v>#REF!</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8" t="s">
        <v>1428</v>
      </c>
      <c r="B100" s="3569"/>
      <c r="C100" s="3569"/>
      <c r="D100" s="3586"/>
      <c r="E100" s="3569" t="s">
        <v>1429</v>
      </c>
      <c r="F100" s="3569"/>
      <c r="G100" s="3569"/>
      <c r="H100" s="3586"/>
      <c r="I100" s="129"/>
    </row>
    <row r="101" spans="1:35" ht="18.75" customHeight="1">
      <c r="A101" s="3647" t="s">
        <v>1430</v>
      </c>
      <c r="B101" s="3648"/>
      <c r="C101" s="2582" t="str">
        <f>C4</f>
        <v>比较法-住宅</v>
      </c>
      <c r="D101" s="2583" t="str">
        <f>D4</f>
        <v>收益法 (元)</v>
      </c>
      <c r="E101" s="3661" t="s">
        <v>1431</v>
      </c>
      <c r="F101" s="3618"/>
      <c r="G101" s="1826" t="s">
        <v>1432</v>
      </c>
      <c r="H101" s="2592" t="e">
        <f ca="1">H118</f>
        <v>#REF!</v>
      </c>
      <c r="I101" s="129"/>
    </row>
    <row r="102" spans="1:35" ht="18.75" customHeight="1">
      <c r="A102" s="3620" t="s">
        <v>1433</v>
      </c>
      <c r="B102" s="2581" t="s">
        <v>1432</v>
      </c>
      <c r="C102" s="2582">
        <f ca="1">IF(D32="楼面单价",ROUND(C19,0),C19)</f>
        <v>716.8614</v>
      </c>
      <c r="D102" s="2583">
        <f ca="1">IF(D32="楼面单价",ROUND(D19,0),D19)</f>
        <v>356.37020000000001</v>
      </c>
      <c r="E102" s="3661"/>
      <c r="F102" s="3618"/>
      <c r="G102" s="1826" t="s">
        <v>1434</v>
      </c>
      <c r="H102" s="2552" t="e">
        <f ca="1">I118</f>
        <v>#REF!</v>
      </c>
      <c r="I102" s="129"/>
    </row>
    <row r="103" spans="1:35" ht="42.75" customHeight="1">
      <c r="A103" s="3620"/>
      <c r="B103" s="2581" t="s">
        <v>1434</v>
      </c>
      <c r="C103" s="2584">
        <f ca="1">C20</f>
        <v>126208</v>
      </c>
      <c r="D103" s="2585">
        <f ca="1">D20</f>
        <v>62741</v>
      </c>
      <c r="E103" s="3655" t="s">
        <v>1435</v>
      </c>
      <c r="F103" s="3656"/>
      <c r="G103" s="1827" t="s">
        <v>1436</v>
      </c>
      <c r="H103" s="2592">
        <f>IF(D36="正常操作",H104+H105+H106,H105+H106)</f>
        <v>0</v>
      </c>
      <c r="I103" s="129"/>
    </row>
    <row r="104" spans="1:35" ht="18.75" customHeight="1">
      <c r="A104" s="3620" t="s">
        <v>1437</v>
      </c>
      <c r="B104" s="2586" t="s">
        <v>1432</v>
      </c>
      <c r="C104" s="2587" t="e">
        <f ca="1">H118</f>
        <v>#REF!</v>
      </c>
      <c r="D104" s="2588"/>
      <c r="E104" s="1673" t="s">
        <v>1438</v>
      </c>
      <c r="F104" s="1665"/>
      <c r="G104" s="1827" t="s">
        <v>1436</v>
      </c>
      <c r="H104" s="2593">
        <f>IF(D36="同一抵押权人同一抵押物续贷",C36&amp;"（续贷，未扣减，详见特别提示）",C36)</f>
        <v>0</v>
      </c>
      <c r="I104" s="129"/>
    </row>
    <row r="105" spans="1:35" ht="18.75" customHeight="1" thickBot="1">
      <c r="A105" s="3621"/>
      <c r="B105" s="2589" t="s">
        <v>1434</v>
      </c>
      <c r="C105" s="2590" t="e">
        <f ca="1">I118</f>
        <v>#REF!</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617" t="str">
        <f>IF(项目基本情况!E8="已注销","——","3.房地产抵押价值")</f>
        <v>3.房地产抵押价值</v>
      </c>
      <c r="F107" s="3618"/>
      <c r="G107" s="1826" t="s">
        <v>1432</v>
      </c>
      <c r="H107" s="2592" t="e">
        <f ca="1">IF(E107="——","——",H101-H103)</f>
        <v>#REF!</v>
      </c>
      <c r="I107" s="129"/>
    </row>
    <row r="108" spans="1:35" ht="18.75" customHeight="1">
      <c r="A108" s="129"/>
      <c r="B108" s="129"/>
      <c r="C108" s="129"/>
      <c r="D108" s="129"/>
      <c r="E108" s="3617"/>
      <c r="F108" s="3618"/>
      <c r="G108" s="1826" t="s">
        <v>1434</v>
      </c>
      <c r="H108" s="2552" t="e">
        <f ca="1">IF(H107=H101,H102,ROUND(H107*10000/'数据-汇总表'!E3,0))</f>
        <v>#REF!</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6" t="s">
        <v>1432</v>
      </c>
      <c r="H109" s="2595" t="str">
        <f>IF(E109="——","——",H101-H105-H106)</f>
        <v>——</v>
      </c>
      <c r="I109" s="129"/>
    </row>
    <row r="110" spans="1:35" ht="18.75" customHeight="1">
      <c r="A110" s="129"/>
      <c r="B110" s="129"/>
      <c r="C110" s="129"/>
      <c r="D110" s="129"/>
      <c r="E110" s="3617"/>
      <c r="F110" s="3618"/>
      <c r="G110" s="1826" t="s">
        <v>1434</v>
      </c>
      <c r="H110" s="2552"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6" t="s">
        <v>1432</v>
      </c>
      <c r="H111" s="2592" t="str">
        <f>IF(E111="——","——",N59)</f>
        <v>——</v>
      </c>
      <c r="I111" s="129"/>
    </row>
    <row r="112" spans="1:35" ht="18.75" customHeight="1" thickBot="1">
      <c r="A112" s="129"/>
      <c r="B112" s="129"/>
      <c r="C112" s="129"/>
      <c r="D112" s="129"/>
      <c r="E112" s="3650"/>
      <c r="F112" s="3651"/>
      <c r="G112" s="1829" t="s">
        <v>1434</v>
      </c>
      <c r="H112" s="2596" t="str">
        <f>IF(E111="——","——",N61)</f>
        <v>——</v>
      </c>
      <c r="I112" s="129"/>
    </row>
    <row r="113" spans="1:27" ht="18.75" customHeight="1">
      <c r="A113" s="129"/>
      <c r="B113" s="129"/>
      <c r="C113" s="129"/>
      <c r="D113" s="129"/>
      <c r="E113" s="3622" t="s">
        <v>1440</v>
      </c>
      <c r="F113" s="3622"/>
      <c r="G113" s="3622"/>
      <c r="H113" s="3622"/>
      <c r="I113" s="129"/>
    </row>
    <row r="114" spans="1:27" ht="3.75" customHeight="1">
      <c r="A114" s="1746"/>
      <c r="B114" s="1746"/>
      <c r="C114" s="1746"/>
      <c r="D114" s="1746"/>
      <c r="E114" s="1808"/>
      <c r="F114" s="1808"/>
      <c r="G114" s="1808"/>
      <c r="H114" s="1808"/>
      <c r="I114" s="1746"/>
    </row>
    <row r="115" spans="1:27" ht="18.75" customHeight="1">
      <c r="A115" s="3632" t="s">
        <v>1442</v>
      </c>
      <c r="B115" s="3633"/>
      <c r="C115" s="3633"/>
      <c r="D115" s="3633"/>
      <c r="E115" s="3633"/>
      <c r="F115" s="3633"/>
      <c r="G115" s="3633"/>
      <c r="H115" s="3633"/>
      <c r="I115" s="3634"/>
    </row>
    <row r="116" spans="1:27" ht="27" customHeight="1">
      <c r="A116" s="3588" t="s">
        <v>1443</v>
      </c>
      <c r="B116" s="3623" t="s">
        <v>1444</v>
      </c>
      <c r="C116" s="3623" t="s">
        <v>1445</v>
      </c>
      <c r="D116" s="3636" t="s">
        <v>1446</v>
      </c>
      <c r="E116" s="3637"/>
      <c r="F116" s="3631" t="s">
        <v>1447</v>
      </c>
      <c r="G116" s="3631"/>
      <c r="H116" s="3588" t="s">
        <v>1448</v>
      </c>
      <c r="I116" s="3588"/>
    </row>
    <row r="117" spans="1:27" ht="18.75" customHeight="1">
      <c r="A117" s="3588"/>
      <c r="B117" s="3624"/>
      <c r="C117" s="3624"/>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56.8</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88" t="s">
        <v>1452</v>
      </c>
      <c r="B119" s="3588"/>
      <c r="C119" s="3588"/>
      <c r="D119" s="3628" t="e">
        <f ca="1">NUMBERSTRING(INT(D118*10000),2)&amp;"元整"</f>
        <v>#REF!</v>
      </c>
      <c r="E119" s="3630"/>
      <c r="F119" s="3628" t="e">
        <f ca="1">NUMBERSTRING(INT(F118*10000),2)&amp;"元整"</f>
        <v>#REF!</v>
      </c>
      <c r="G119" s="3630"/>
      <c r="H119" s="3628" t="e">
        <f ca="1">NUMBERSTRING(INT(H118*10000),2)&amp;"元整"</f>
        <v>#REF!</v>
      </c>
      <c r="I119" s="3630"/>
    </row>
    <row r="120" spans="1:27" ht="18.75" customHeight="1">
      <c r="A120" s="3652" t="str">
        <f>IF(项目基本情况!B9="房地产市场价值","",MID(E103,3,LEN(E103)-2))</f>
        <v/>
      </c>
      <c r="B120" s="3653"/>
      <c r="C120" s="3654"/>
      <c r="D120" s="3652">
        <f>H103</f>
        <v>0</v>
      </c>
      <c r="E120" s="3653"/>
      <c r="F120" s="3653"/>
      <c r="G120" s="3653"/>
      <c r="H120" s="3653"/>
      <c r="I120" s="3654"/>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28" t="s">
        <v>1452</v>
      </c>
      <c r="B121" s="3629"/>
      <c r="C121" s="3630"/>
      <c r="D121" s="3628" t="str">
        <f>IF(D120=0,"零元整",NUMBERSTRING(INT(D120*10000),2)&amp;"元整")</f>
        <v>零元整</v>
      </c>
      <c r="E121" s="3629"/>
      <c r="F121" s="3629"/>
      <c r="G121" s="3629"/>
      <c r="H121" s="3629"/>
      <c r="I121" s="3630"/>
      <c r="AA121" s="725"/>
    </row>
    <row r="122" spans="1:27" ht="18.75" customHeight="1">
      <c r="A122" s="3619" t="str">
        <f>IF(项目基本情况!B9="房地产市场价值","",MID(E107,3,LEN(E107)-2))</f>
        <v/>
      </c>
      <c r="B122" s="3619"/>
      <c r="C122" s="3619"/>
      <c r="D122" s="3652" t="e">
        <f ca="1">H107</f>
        <v>#REF!</v>
      </c>
      <c r="E122" s="3653"/>
      <c r="F122" s="3653"/>
      <c r="G122" s="3653"/>
      <c r="H122" s="3653"/>
      <c r="I122" s="3654"/>
      <c r="AA122" s="725"/>
    </row>
    <row r="123" spans="1:27" ht="18.75" customHeight="1">
      <c r="A123" s="3588" t="s">
        <v>1452</v>
      </c>
      <c r="B123" s="3588"/>
      <c r="C123" s="3588"/>
      <c r="D123" s="3628" t="e">
        <f ca="1">NUMBERSTRING(INT(D122*10000),2)&amp;"元整"</f>
        <v>#REF!</v>
      </c>
      <c r="E123" s="3629"/>
      <c r="F123" s="3629"/>
      <c r="G123" s="3629"/>
      <c r="H123" s="3629"/>
      <c r="I123" s="3630"/>
      <c r="AA123" s="725"/>
    </row>
    <row r="124" spans="1:27" ht="18.75" customHeight="1">
      <c r="A124" s="3619" t="str">
        <f>IF(项目基本情况!B9="房地产市场价值","",MID(E109,3,LEN(E109)-2))</f>
        <v/>
      </c>
      <c r="B124" s="3619"/>
      <c r="C124" s="3619"/>
      <c r="D124" s="3652" t="str">
        <f>H109</f>
        <v>——</v>
      </c>
      <c r="E124" s="3653"/>
      <c r="F124" s="3653"/>
      <c r="G124" s="3653"/>
      <c r="H124" s="3653"/>
      <c r="I124" s="3654"/>
      <c r="AA124" s="725"/>
    </row>
    <row r="125" spans="1:27" ht="18.75" customHeight="1">
      <c r="A125" s="3588" t="s">
        <v>1452</v>
      </c>
      <c r="B125" s="3588"/>
      <c r="C125" s="3588"/>
      <c r="D125" s="3628" t="e">
        <f>NUMBERSTRING(INT(D124*10000),2)&amp;"元整"</f>
        <v>#VALUE!</v>
      </c>
      <c r="E125" s="3629"/>
      <c r="F125" s="3629"/>
      <c r="G125" s="3629"/>
      <c r="H125" s="3629"/>
      <c r="I125" s="3630"/>
      <c r="AA125" s="725"/>
    </row>
    <row r="126" spans="1:27" ht="18.75" customHeight="1">
      <c r="A126" s="3619" t="str">
        <f>IF(项目基本情况!B9="房地产市场价值","",MID(E111,3,LEN(E111)-2))</f>
        <v/>
      </c>
      <c r="B126" s="3619"/>
      <c r="C126" s="3619"/>
      <c r="D126" s="3652" t="str">
        <f>H111</f>
        <v>——</v>
      </c>
      <c r="E126" s="3653"/>
      <c r="F126" s="3653"/>
      <c r="G126" s="3653"/>
      <c r="H126" s="3653"/>
      <c r="I126" s="3654"/>
      <c r="AA126" s="725"/>
    </row>
    <row r="127" spans="1:27" ht="18.75" customHeight="1">
      <c r="A127" s="3588" t="s">
        <v>1452</v>
      </c>
      <c r="B127" s="3588"/>
      <c r="C127" s="3588"/>
      <c r="D127" s="3628" t="e">
        <f>NUMBERSTRING(INT(D126*10000),2)&amp;"元整"</f>
        <v>#VALUE!</v>
      </c>
      <c r="E127" s="3629"/>
      <c r="F127" s="3629"/>
      <c r="G127" s="3629"/>
      <c r="H127" s="3629"/>
      <c r="I127" s="3630"/>
      <c r="AA127" s="725"/>
    </row>
    <row r="128" spans="1:27" ht="21.75" customHeight="1">
      <c r="A128" s="3635" t="s">
        <v>1453</v>
      </c>
      <c r="B128" s="3635"/>
      <c r="C128" s="3635"/>
      <c r="D128" s="3635"/>
      <c r="E128" s="3635"/>
      <c r="F128" s="3635"/>
      <c r="G128" s="3635"/>
      <c r="H128" s="3635"/>
      <c r="I128" s="3635"/>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"100%,70%,56%"</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16</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1</v>
      </c>
      <c r="D9" s="845">
        <f ca="1">IF(B1="",'数据-汇总表'!E5,IF(INDIRECT("'数据-取费表'!c"&amp;$G$1)="住宅",INDIRECT("'数据-取费表'!k"&amp;$G$1),0))</f>
        <v>56.8</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56.8</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4.7500000000000001E-2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56.8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0</v>
      </c>
      <c r="D41" s="235">
        <f ca="1">C44</f>
        <v>5.0000000000000001E-4</v>
      </c>
      <c r="E41" s="236" t="s">
        <v>1539</v>
      </c>
      <c r="F41" s="237">
        <f ca="1">F22</f>
        <v>4.7500000000000001E-2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68" t="s">
        <v>1544</v>
      </c>
    </row>
    <row r="43" spans="1:7" ht="13.5" customHeight="1">
      <c r="A43" s="780" t="s">
        <v>347</v>
      </c>
      <c r="B43" s="215" t="s">
        <v>1545</v>
      </c>
      <c r="C43" s="238">
        <f ca="1">ROUND(IF('数据-取费表'!B22&lt;=1,C39*F22*'数据-取费表'!B21/2,C39*(POWER((1+F22),'数据-取费表'!B21/2)-1)),0)</f>
        <v>0</v>
      </c>
      <c r="D43" s="238"/>
      <c r="E43" s="238"/>
      <c r="F43" s="239"/>
      <c r="G43" s="3669"/>
    </row>
    <row r="44" spans="1:7" ht="13.5" customHeight="1">
      <c r="A44" s="780" t="s">
        <v>348</v>
      </c>
      <c r="B44" s="215" t="s">
        <v>1546</v>
      </c>
      <c r="C44" s="238">
        <f ca="1">ROUND(IF('数据-取费表'!B22&lt;=1,C40*F22*'数据-取费表'!B21/2,C40*(POWER((1+F22),'数据-取费表'!B21/2)-1)),4)</f>
        <v>5.0000000000000001E-4</v>
      </c>
      <c r="D44" s="238"/>
      <c r="E44" s="238"/>
      <c r="F44" s="239"/>
      <c r="G44" s="3670"/>
    </row>
    <row r="45" spans="1:7" s="214" customFormat="1" ht="13.5" customHeight="1">
      <c r="A45" s="255" t="s">
        <v>1547</v>
      </c>
      <c r="B45" s="244" t="s">
        <v>1513</v>
      </c>
      <c r="C45" s="245">
        <f ca="1">C46</f>
        <v>5</v>
      </c>
      <c r="D45" s="235">
        <f ca="1">C47</f>
        <v>5.0000000000000001E-3</v>
      </c>
      <c r="E45" s="236" t="s">
        <v>1539</v>
      </c>
      <c r="F45" s="246">
        <f ca="1">F27</f>
        <v>0.25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15</v>
      </c>
      <c r="D51" s="232"/>
      <c r="E51" s="232"/>
      <c r="F51" s="264"/>
      <c r="G51" s="234" t="s">
        <v>1560</v>
      </c>
    </row>
    <row r="52" spans="1:7" s="208" customFormat="1" ht="16.5" thickBot="1">
      <c r="A52" s="265" t="s">
        <v>1561</v>
      </c>
      <c r="B52" s="266"/>
      <c r="C52" s="267">
        <f ca="1">C31+C51</f>
        <v>16</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4"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80" zoomScaleNormal="70" zoomScaleSheetLayoutView="80" workbookViewId="0">
      <selection activeCell="G27" sqref="G27"/>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8" width="10.62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18.634799999999998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3281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9088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9088</v>
      </c>
      <c r="D8" s="222"/>
      <c r="E8" s="220"/>
      <c r="F8" s="221"/>
      <c r="G8" s="1855"/>
    </row>
    <row r="9" spans="1:8" s="214" customFormat="1" ht="13.5" customHeight="1">
      <c r="A9" s="779" t="s">
        <v>355</v>
      </c>
      <c r="B9" s="224" t="s">
        <v>1478</v>
      </c>
      <c r="C9" s="225">
        <f ca="1">ROUND(D9*E9,0)</f>
        <v>9088</v>
      </c>
      <c r="D9" s="845">
        <f ca="1">IF(B1="",'数据-汇总表'!E5,IF(INDIRECT("'数据-取费表'!c"&amp;$G$1)="住宅",INDIRECT("'数据-取费表'!k"&amp;$G$1),0))</f>
        <v>56.8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11360</v>
      </c>
      <c r="D19" s="849">
        <f ca="1">D9+D10</f>
        <v>56.8</v>
      </c>
      <c r="E19" s="211">
        <f>'数据-取费表'!B31</f>
        <v>200</v>
      </c>
      <c r="F19" s="231"/>
      <c r="G19" s="1855"/>
    </row>
    <row r="20" spans="1:7" s="214" customFormat="1" ht="13.5" customHeight="1">
      <c r="A20" s="255" t="s">
        <v>1574</v>
      </c>
      <c r="B20" s="210" t="s">
        <v>1575</v>
      </c>
      <c r="C20" s="232">
        <f ca="1">ROUND((C5+C19)*F20,0)</f>
        <v>409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982</v>
      </c>
      <c r="D22" s="235">
        <f ca="1">C26</f>
        <v>5.0000000000000001E-4</v>
      </c>
      <c r="E22" s="236" t="s">
        <v>1579</v>
      </c>
      <c r="F22" s="237">
        <f ca="1">'数据-取费表'!B40</f>
        <v>4.7500000000000001E-2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432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540</v>
      </c>
      <c r="D24" s="238"/>
      <c r="E24" s="238"/>
      <c r="F24" s="239"/>
      <c r="G24" s="240" t="s">
        <v>1586</v>
      </c>
    </row>
    <row r="25" spans="1:7" s="214" customFormat="1" ht="24">
      <c r="A25" s="780" t="s">
        <v>1476</v>
      </c>
      <c r="B25" s="215" t="s">
        <v>1587</v>
      </c>
      <c r="C25" s="1128">
        <f ca="1">ROUND(IF('数据-取费表'!B22&lt;=1,C20*F22*'数据-取费表'!B22/2,C20*(POWER((1+F22),'数据-取费表'!B22/2)-1)),0)</f>
        <v>10</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5214</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5214</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29367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185509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159040</v>
      </c>
      <c r="D34" s="217"/>
      <c r="E34" s="220"/>
      <c r="F34" s="257"/>
      <c r="G34" s="219"/>
    </row>
    <row r="35" spans="1:7" ht="13.5" customHeight="1">
      <c r="A35" s="780" t="s">
        <v>351</v>
      </c>
      <c r="B35" s="215" t="s">
        <v>1527</v>
      </c>
      <c r="C35" s="220">
        <f ca="1">ROUND(C34*F35,0)</f>
        <v>4771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7952</v>
      </c>
      <c r="D36" s="220"/>
      <c r="E36" s="220"/>
      <c r="F36" s="259">
        <f>'数据-取费表'!B34</f>
        <v>0.05</v>
      </c>
      <c r="G36" s="260" t="s">
        <v>1530</v>
      </c>
    </row>
    <row r="37" spans="1:7" s="258" customFormat="1" ht="13.5" customHeight="1">
      <c r="A37" s="780" t="s">
        <v>353</v>
      </c>
      <c r="B37" s="215" t="s">
        <v>1531</v>
      </c>
      <c r="C37" s="249">
        <f ca="1">ROUND(E37*D37,0)</f>
        <v>11360</v>
      </c>
      <c r="D37" s="217">
        <f ca="1">D19</f>
        <v>56.8</v>
      </c>
      <c r="E37" s="249">
        <f>'数据-取费表'!B35</f>
        <v>200</v>
      </c>
      <c r="F37" s="259"/>
      <c r="G37" s="261"/>
    </row>
    <row r="38" spans="1:7" ht="13.5" customHeight="1">
      <c r="A38" s="780" t="s">
        <v>354</v>
      </c>
      <c r="B38" s="215" t="s">
        <v>1533</v>
      </c>
      <c r="C38" s="220">
        <f ca="1">ROUND(C34*F38,0)</f>
        <v>2386</v>
      </c>
      <c r="D38" s="220"/>
      <c r="E38" s="220"/>
      <c r="F38" s="259">
        <f>'数据-取费表'!B36</f>
        <v>1.4999999999999999E-2</v>
      </c>
      <c r="G38" s="219" t="s">
        <v>1528</v>
      </c>
    </row>
    <row r="39" spans="1:7" s="214" customFormat="1" ht="13.5" customHeight="1">
      <c r="A39" s="255" t="s">
        <v>1534</v>
      </c>
      <c r="B39" s="210" t="s">
        <v>1535</v>
      </c>
      <c r="C39" s="232">
        <f ca="1">ROUND(C33*F20,0)</f>
        <v>3710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4494</v>
      </c>
      <c r="D41" s="235">
        <f ca="1">C44</f>
        <v>5.0000000000000001E-4</v>
      </c>
      <c r="E41" s="236" t="s">
        <v>1539</v>
      </c>
      <c r="F41" s="237">
        <f ca="1">F22</f>
        <v>4.7500000000000001E-2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4406</v>
      </c>
      <c r="D42" s="238"/>
      <c r="E42" s="238"/>
      <c r="F42" s="239"/>
      <c r="G42" s="3668" t="s">
        <v>1591</v>
      </c>
    </row>
    <row r="43" spans="1:7" ht="13.5" customHeight="1">
      <c r="A43" s="780" t="s">
        <v>347</v>
      </c>
      <c r="B43" s="215" t="s">
        <v>1545</v>
      </c>
      <c r="C43" s="238">
        <f ca="1">ROUND(IF('数据-取费表'!B22&lt;=1,C39*F22*'数据-取费表'!B20/2,C39*(POWER((1+F22),'数据-取费表'!B20/2)-1)),0)</f>
        <v>88</v>
      </c>
      <c r="D43" s="238"/>
      <c r="E43" s="238"/>
      <c r="F43" s="239"/>
      <c r="G43" s="3669"/>
    </row>
    <row r="44" spans="1:7" ht="13.5" customHeight="1">
      <c r="A44" s="780" t="s">
        <v>348</v>
      </c>
      <c r="B44" s="215" t="s">
        <v>1546</v>
      </c>
      <c r="C44" s="238">
        <f ca="1">ROUND(IF('数据-取费表'!B22&lt;=1,C40*F22*'数据-取费表'!B20/2,C40*(POWER((1+F22),'数据-取费表'!B20/2)-1)),4)</f>
        <v>5.0000000000000001E-4</v>
      </c>
      <c r="D44" s="238"/>
      <c r="E44" s="238"/>
      <c r="F44" s="239"/>
      <c r="G44" s="3670"/>
    </row>
    <row r="45" spans="1:7" s="214" customFormat="1" ht="13.5" customHeight="1">
      <c r="A45" s="255" t="s">
        <v>1547</v>
      </c>
      <c r="B45" s="244" t="s">
        <v>1513</v>
      </c>
      <c r="C45" s="245">
        <f ca="1">C46</f>
        <v>47305</v>
      </c>
      <c r="D45" s="235">
        <f ca="1">C47</f>
        <v>5.0000000000000001E-3</v>
      </c>
      <c r="E45" s="236" t="s">
        <v>1539</v>
      </c>
      <c r="F45" s="246">
        <f ca="1">F27</f>
        <v>0.25</v>
      </c>
      <c r="G45" s="247" t="s">
        <v>1548</v>
      </c>
    </row>
    <row r="46" spans="1:7" s="214" customFormat="1" ht="13.5" customHeight="1">
      <c r="A46" s="780" t="s">
        <v>346</v>
      </c>
      <c r="B46" s="248" t="s">
        <v>1549</v>
      </c>
      <c r="C46" s="249">
        <f ca="1">ROUND((C33+C39)*F27,0)</f>
        <v>47305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261635</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156981</v>
      </c>
      <c r="D51" s="232"/>
      <c r="E51" s="232"/>
      <c r="F51" s="264"/>
      <c r="G51" s="234" t="s">
        <v>1560</v>
      </c>
    </row>
    <row r="52" spans="1:7" s="208" customFormat="1" ht="16.5" thickBot="1">
      <c r="A52" s="265" t="s">
        <v>1561</v>
      </c>
      <c r="B52" s="266"/>
      <c r="C52" s="267">
        <f ca="1">C31+C51</f>
        <v>186348</v>
      </c>
      <c r="D52" s="266"/>
      <c r="E52" s="266"/>
      <c r="F52" s="266"/>
      <c r="G52" s="268"/>
    </row>
    <row r="55" spans="1:7" ht="15">
      <c r="B55" s="270" t="s">
        <v>1562</v>
      </c>
      <c r="C55" s="271"/>
    </row>
    <row r="56" spans="1:7">
      <c r="B56" s="273" t="s">
        <v>802</v>
      </c>
      <c r="C56" s="275">
        <f ca="1">1-C57</f>
        <v>0.15800000000000003</v>
      </c>
    </row>
    <row r="57" spans="1:7">
      <c r="B57" s="273" t="s">
        <v>803</v>
      </c>
      <c r="C57" s="274">
        <f ca="1">ROUND(C51/C52,3)</f>
        <v>0.84199999999999997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北京市房地产市场价值预评估</v>
      </c>
      <c r="C37" s="3485"/>
      <c r="D37" s="3485"/>
      <c r="E37" s="3485"/>
      <c r="F37" s="3485"/>
      <c r="G37" s="3485"/>
      <c r="H37" s="3485"/>
      <c r="I37" s="348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625" style="728" customWidth="1"/>
    <col min="2" max="2" width="25.625" style="781" customWidth="1"/>
    <col min="3" max="3" width="10.375" style="823" customWidth="1"/>
    <col min="4" max="4" width="9.875" style="781" customWidth="1"/>
    <col min="5" max="5" width="9.5" style="728" customWidth="1"/>
    <col min="6" max="6" width="10.125" style="781" customWidth="1"/>
    <col min="7" max="7" width="10.62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-1</v>
      </c>
      <c r="C2" s="276" t="s">
        <v>1595</v>
      </c>
      <c r="D2" s="276"/>
      <c r="E2" s="2803"/>
      <c r="F2" s="2803"/>
      <c r="G2" s="2803"/>
      <c r="H2" s="2803"/>
      <c r="I2" s="2803"/>
      <c r="J2" s="2803"/>
      <c r="K2" s="2803"/>
    </row>
    <row r="3" spans="1:33" ht="18" customHeight="1" thickBot="1">
      <c r="A3" s="203" t="s">
        <v>1464</v>
      </c>
      <c r="B3" s="204">
        <f ca="1">ROUND(B2*10000/IF(C1="",'数据-汇总表'!E3,INDIRECT("'数据-取费表'!K"&amp;$K$1)),0)</f>
        <v>-176</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56.8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56.8</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1"/>
      <c r="H18" s="1186"/>
      <c r="I18" s="1862"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56.8</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625" style="258" customWidth="1"/>
    <col min="6" max="6" width="10.625" style="258" customWidth="1"/>
    <col min="7" max="7" width="4.875" style="258" customWidth="1"/>
    <col min="8" max="8" width="8.5" style="258" customWidth="1"/>
    <col min="9" max="9" width="21.125" style="258" customWidth="1"/>
    <col min="10" max="10" width="12.125" style="258" customWidth="1"/>
    <col min="11" max="11" width="45.125" style="1467" customWidth="1"/>
    <col min="12" max="12" width="16.375" style="258" customWidth="1"/>
    <col min="13" max="13" width="13" style="258" customWidth="1"/>
    <col min="14" max="14" width="13.625" style="1383" customWidth="1"/>
    <col min="15" max="15" width="5.125" style="1383" customWidth="1"/>
    <col min="16" max="16" width="25.625" style="1383" customWidth="1"/>
    <col min="17" max="17" width="13.625" style="1383" customWidth="1"/>
    <col min="18" max="18" width="20.5" style="1383" customWidth="1"/>
    <col min="19" max="19" width="13.1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73" t="s">
        <v>694</v>
      </c>
      <c r="C6" s="1074">
        <f ca="1">ROUND(F6*F8*F7*(1-F9)/10000,0)</f>
        <v>0</v>
      </c>
      <c r="D6" s="155" t="s">
        <v>2109</v>
      </c>
      <c r="E6" s="302" t="s">
        <v>696</v>
      </c>
      <c r="F6" s="303">
        <f ca="1">INDIRECT("'数据-取费表'!u"&amp;$G$1)</f>
        <v>0</v>
      </c>
      <c r="G6" s="1383"/>
      <c r="H6" s="1069" t="s">
        <v>398</v>
      </c>
      <c r="I6" s="3673" t="s">
        <v>694</v>
      </c>
      <c r="J6" s="301">
        <f ca="1">ROUND(M6*M8*M7*(1-M9)/10000,0)</f>
        <v>0</v>
      </c>
      <c r="K6" s="155" t="s">
        <v>2108</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0</v>
      </c>
      <c r="G7" s="1383"/>
      <c r="H7" s="304"/>
      <c r="I7" s="3674"/>
      <c r="J7" s="306"/>
      <c r="K7" s="307"/>
      <c r="L7" s="302" t="s">
        <v>697</v>
      </c>
      <c r="M7" s="303">
        <f ca="1">F7</f>
        <v>0</v>
      </c>
    </row>
    <row r="8" spans="1:37" ht="18" customHeight="1">
      <c r="A8" s="304"/>
      <c r="B8" s="3674"/>
      <c r="C8" s="306"/>
      <c r="D8" s="307"/>
      <c r="E8" s="302" t="s">
        <v>698</v>
      </c>
      <c r="F8" s="303">
        <f ca="1">INDIRECT("'数据-取费表'!ai"&amp;$G$1)</f>
        <v>0</v>
      </c>
      <c r="G8" s="1383"/>
      <c r="H8" s="304"/>
      <c r="I8" s="3674"/>
      <c r="J8" s="306"/>
      <c r="K8" s="307"/>
      <c r="L8" s="302" t="s">
        <v>698</v>
      </c>
      <c r="M8" s="303">
        <f ca="1">INDIRECT("'数据-取费表'!ai"&amp;$G$1)</f>
        <v>0</v>
      </c>
    </row>
    <row r="9" spans="1:37" ht="18" customHeight="1">
      <c r="A9" s="304"/>
      <c r="B9" s="3675"/>
      <c r="C9" s="306"/>
      <c r="D9" s="307"/>
      <c r="E9" s="302" t="s">
        <v>699</v>
      </c>
      <c r="F9" s="312">
        <f ca="1">INDIRECT("'数据-取费表'!w"&amp;$G$1)</f>
        <v>0</v>
      </c>
      <c r="G9" s="1383"/>
      <c r="H9" s="304"/>
      <c r="I9" s="367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4"/>
      <c r="I30" s="1397"/>
      <c r="J30" s="1398"/>
      <c r="K30" s="2472"/>
      <c r="L30" s="2695"/>
      <c r="M30" s="2696"/>
    </row>
    <row r="31" spans="1:37" ht="18" customHeight="1">
      <c r="A31" s="982" t="s">
        <v>398</v>
      </c>
      <c r="B31" s="302" t="s">
        <v>719</v>
      </c>
      <c r="C31" s="2313">
        <f ca="1">ROUND(IF(AND(项目基本情况!B11="自然人",项目基本情况!B10="北京市"),C6*F31/(1+'数据-取费表'!C42),C32+C33+C34),2)</f>
        <v>0</v>
      </c>
      <c r="D31" s="1344" t="s">
        <v>720</v>
      </c>
      <c r="E31" s="1343" t="s">
        <v>770</v>
      </c>
      <c r="F31" s="2312">
        <f ca="1">IF(项目基本情况!B11="企业","——",IF(M47="住宅",IF(F6*F7*F8/12/(1+'数据-取费表'!F30)&gt;100000,4%,2.5%),IF(F6*F7*F8/12/(1+'数据-取费表'!F30)&gt;100000,12%,7%)))</f>
        <v>7.0000000000000007E-2</v>
      </c>
      <c r="G31" s="1383"/>
      <c r="H31" s="2805" t="s">
        <v>2310</v>
      </c>
      <c r="I31" s="1397"/>
      <c r="J31" s="1398"/>
      <c r="K31" s="2472"/>
      <c r="L31" s="2695"/>
      <c r="M31" s="2696"/>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4"/>
      <c r="I32" s="1397"/>
      <c r="J32" s="1398"/>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c r="A37" s="982"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3"/>
      <c r="H38" s="2697"/>
      <c r="I38" s="1397"/>
      <c r="J38" s="1398"/>
      <c r="K38" s="2701"/>
      <c r="L38" s="2697"/>
      <c r="M38" s="2697"/>
    </row>
    <row r="39" spans="1:18" ht="24.6" customHeight="1" thickTop="1">
      <c r="A39" s="1079" t="s">
        <v>394</v>
      </c>
      <c r="B39" s="1094" t="s">
        <v>772</v>
      </c>
      <c r="C39" s="310">
        <f ca="1">C5-C30</f>
        <v>0</v>
      </c>
      <c r="D39" s="1095" t="s">
        <v>773</v>
      </c>
      <c r="E39" s="1096"/>
      <c r="F39" s="1097"/>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0</v>
      </c>
      <c r="K53" s="3671" t="s">
        <v>837</v>
      </c>
      <c r="L53" s="3672"/>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D12" sqref="D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625" style="258" customWidth="1"/>
    <col min="6" max="6" width="10.625" style="258" customWidth="1"/>
    <col min="7" max="7" width="4.875" style="258" customWidth="1"/>
    <col min="8" max="8" width="8.5" style="258" customWidth="1"/>
    <col min="9" max="9" width="21.125" style="258" customWidth="1"/>
    <col min="10" max="10" width="12.125" style="258" customWidth="1"/>
    <col min="11" max="11" width="40.125" style="1467" customWidth="1"/>
    <col min="12" max="12" width="16.375" style="258" customWidth="1"/>
    <col min="13" max="13" width="13" style="258" customWidth="1"/>
    <col min="14" max="14" width="13.625" style="1383" customWidth="1"/>
    <col min="15" max="15" width="5.125" style="1383" customWidth="1"/>
    <col min="16" max="16" width="25.625" style="1383" customWidth="1"/>
    <col min="17" max="17" width="13.625" style="1383" customWidth="1"/>
    <col min="18" max="18" width="20.5" style="1383" customWidth="1"/>
    <col min="19" max="19" width="13.125" style="1383" customWidth="1"/>
    <col min="20" max="37" width="9" style="1383"/>
    <col min="38" max="16384" width="9" style="258"/>
  </cols>
  <sheetData>
    <row r="1" spans="1:37" s="293" customFormat="1" ht="21">
      <c r="A1" s="1374" t="s">
        <v>877</v>
      </c>
      <c r="B1" s="713"/>
      <c r="C1" s="1378" t="s">
        <v>3384</v>
      </c>
      <c r="D1" s="1361" t="s">
        <v>43</v>
      </c>
      <c r="E1" s="1362" t="s">
        <v>678</v>
      </c>
      <c r="F1" s="1062">
        <f ca="1">J53</f>
        <v>40</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f ca="1">ROUND(D2/10000,4)</f>
        <v>356.37020000000001</v>
      </c>
      <c r="C2" s="1386" t="s">
        <v>879</v>
      </c>
      <c r="D2" s="1470">
        <f ca="1">C40+J29+L46</f>
        <v>3563702</v>
      </c>
      <c r="E2" s="1387" t="s">
        <v>880</v>
      </c>
      <c r="F2" s="1388"/>
      <c r="G2" s="2703"/>
      <c r="H2" s="2692"/>
      <c r="I2" s="2692"/>
      <c r="J2" s="2692"/>
      <c r="K2" s="2693"/>
      <c r="L2" s="2692"/>
      <c r="M2" s="2692"/>
    </row>
    <row r="3" spans="1:37" ht="18" customHeight="1" thickBot="1">
      <c r="A3" s="1389" t="s">
        <v>881</v>
      </c>
      <c r="B3" s="1390">
        <f ca="1">IF(ISERROR(D2/F43),0,ROUND(D2/F43,0))</f>
        <v>62741</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77617</v>
      </c>
      <c r="D5" s="1363" t="s">
        <v>889</v>
      </c>
      <c r="E5" s="1071"/>
      <c r="F5" s="1072"/>
      <c r="G5" s="1383"/>
      <c r="H5" s="299">
        <v>1</v>
      </c>
      <c r="I5" s="300" t="s">
        <v>888</v>
      </c>
      <c r="J5" s="1070">
        <f ca="1">J6+J10+J12</f>
        <v>0</v>
      </c>
      <c r="K5" s="1363" t="s">
        <v>889</v>
      </c>
      <c r="L5" s="1071"/>
      <c r="M5" s="1072"/>
    </row>
    <row r="6" spans="1:37" ht="18" customHeight="1">
      <c r="A6" s="1069" t="s">
        <v>398</v>
      </c>
      <c r="B6" s="3673" t="s">
        <v>694</v>
      </c>
      <c r="C6" s="1074">
        <f ca="1">ROUND(F6*F8*F7*(1-F9),0)</f>
        <v>77520</v>
      </c>
      <c r="D6" s="155" t="s">
        <v>2106</v>
      </c>
      <c r="E6" s="302" t="s">
        <v>696</v>
      </c>
      <c r="F6" s="303">
        <f ca="1">INDIRECT("'数据-取费表'!u"&amp;$G$1)</f>
        <v>6800</v>
      </c>
      <c r="G6" s="1383"/>
      <c r="H6" s="1069" t="s">
        <v>398</v>
      </c>
      <c r="I6" s="3673" t="s">
        <v>694</v>
      </c>
      <c r="J6" s="301">
        <f ca="1">ROUND(M6*M8*M7*(1-M9),0)</f>
        <v>0</v>
      </c>
      <c r="K6" s="1375" t="s">
        <v>2107</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1</v>
      </c>
      <c r="G7" s="1383"/>
      <c r="H7" s="304"/>
      <c r="I7" s="3674"/>
      <c r="J7" s="306"/>
      <c r="K7" s="307"/>
      <c r="L7" s="302" t="s">
        <v>697</v>
      </c>
      <c r="M7" s="303">
        <f ca="1">F7</f>
        <v>1</v>
      </c>
    </row>
    <row r="8" spans="1:37" ht="18" customHeight="1">
      <c r="A8" s="304"/>
      <c r="B8" s="3674"/>
      <c r="C8" s="306"/>
      <c r="D8" s="307"/>
      <c r="E8" s="302" t="s">
        <v>698</v>
      </c>
      <c r="F8" s="303">
        <f ca="1">INDIRECT("'数据-取费表'!ai"&amp;$G$1)</f>
        <v>12</v>
      </c>
      <c r="G8" s="1383"/>
      <c r="H8" s="304"/>
      <c r="I8" s="3674"/>
      <c r="J8" s="306"/>
      <c r="K8" s="307"/>
      <c r="L8" s="302" t="s">
        <v>698</v>
      </c>
      <c r="M8" s="303">
        <f ca="1">INDIRECT("'数据-取费表'!ai"&amp;$G$1)</f>
        <v>12</v>
      </c>
    </row>
    <row r="9" spans="1:37" ht="18" customHeight="1">
      <c r="A9" s="304"/>
      <c r="B9" s="3675"/>
      <c r="C9" s="306"/>
      <c r="D9" s="307"/>
      <c r="E9" s="302" t="s">
        <v>699</v>
      </c>
      <c r="F9" s="312">
        <f ca="1">INDIRECT("'数据-取费表'!w"&amp;$G$1)</f>
        <v>0.05</v>
      </c>
      <c r="G9" s="1383"/>
      <c r="H9" s="304"/>
      <c r="I9" s="3675"/>
      <c r="J9" s="306"/>
      <c r="K9" s="307"/>
      <c r="L9" s="313" t="s">
        <v>699</v>
      </c>
      <c r="M9" s="314">
        <f ca="1">INDIRECT("'数据-取费表'!ab"&amp;$G$1)</f>
        <v>0</v>
      </c>
    </row>
    <row r="10" spans="1:37" ht="18" customHeight="1">
      <c r="A10" s="1069" t="s">
        <v>402</v>
      </c>
      <c r="B10" s="1364" t="s">
        <v>700</v>
      </c>
      <c r="C10" s="316">
        <f ca="1">ROUND(IF(F10="押一",C6/12*F11,IF(F10="押二",C6/12*2*F11,IF(F10="押三",C6/12*3*F11,C11*F11))),0)</f>
        <v>97</v>
      </c>
      <c r="D10" s="1365" t="s">
        <v>2116</v>
      </c>
      <c r="E10" s="313" t="s">
        <v>701</v>
      </c>
      <c r="F10" s="1116" t="s">
        <v>3390</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156981</v>
      </c>
      <c r="D13" s="1081" t="s">
        <v>705</v>
      </c>
      <c r="E13" s="1081" t="s">
        <v>706</v>
      </c>
      <c r="F13" s="1082">
        <f ca="1">INDIRECT("'数据-取费表'!y"&amp;$G$1)</f>
        <v>0.6</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159040</v>
      </c>
      <c r="D14" s="1344" t="s">
        <v>708</v>
      </c>
      <c r="E14" s="1341"/>
      <c r="F14" s="319"/>
      <c r="G14" s="1383"/>
      <c r="H14" s="982" t="s">
        <v>398</v>
      </c>
      <c r="I14" s="302" t="s">
        <v>709</v>
      </c>
      <c r="J14" s="21">
        <f ca="1">C29</f>
        <v>261635</v>
      </c>
      <c r="K14" s="12"/>
      <c r="L14" s="807"/>
      <c r="M14" s="808"/>
    </row>
    <row r="15" spans="1:37" s="1396" customFormat="1" ht="18" customHeight="1" thickBot="1">
      <c r="A15" s="982" t="s">
        <v>399</v>
      </c>
      <c r="B15" s="302" t="s">
        <v>710</v>
      </c>
      <c r="C15" s="21">
        <f ca="1">ROUND(C14*F15,0)</f>
        <v>4771</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7952</v>
      </c>
      <c r="D16" s="302" t="s">
        <v>711</v>
      </c>
      <c r="E16" s="302" t="s">
        <v>712</v>
      </c>
      <c r="F16" s="322">
        <f ca="1">IF(INDIRECT("'数据-取费表'!c"&amp;$G$1)="住宅",'数据-取费表'!B34,0)</f>
        <v>0.05</v>
      </c>
      <c r="G16" s="1383"/>
      <c r="H16" s="1079" t="s">
        <v>393</v>
      </c>
      <c r="I16" s="1080" t="s">
        <v>714</v>
      </c>
      <c r="J16" s="310">
        <f ca="1">ROUND(J17+J22+J23+J24,0)</f>
        <v>1308</v>
      </c>
      <c r="K16" s="1087" t="s">
        <v>715</v>
      </c>
      <c r="L16" s="1088"/>
      <c r="M16" s="1072"/>
    </row>
    <row r="17" spans="1:37" s="1396" customFormat="1" ht="18" customHeight="1">
      <c r="A17" s="982" t="s">
        <v>681</v>
      </c>
      <c r="B17" s="302" t="s">
        <v>716</v>
      </c>
      <c r="C17" s="21">
        <f ca="1">ROUND(F17*(F43+INDIRECT("'数据-取费表'!S"&amp;$G$1)),0)</f>
        <v>11360</v>
      </c>
      <c r="D17" s="302" t="s">
        <v>717</v>
      </c>
      <c r="E17" s="302" t="s">
        <v>718</v>
      </c>
      <c r="F17" s="23">
        <f>'数据-取费表'!B35</f>
        <v>200</v>
      </c>
      <c r="G17" s="1395"/>
      <c r="H17" s="982" t="s">
        <v>398</v>
      </c>
      <c r="I17" s="302" t="s">
        <v>719</v>
      </c>
      <c r="J17" s="2313">
        <f ca="1">ROUND(IF(AND(项目基本情况!B11="自然人",项目基本情况!B10="北京市"),J6*M17/(1+'数据-取费表'!C42),J18+J19+J20),0)</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2386</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185509</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3710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1308</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4494</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5.0000000000000001E-4</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-1308</v>
      </c>
      <c r="K25" s="1095" t="s">
        <v>753</v>
      </c>
      <c r="L25" s="1096"/>
      <c r="M25" s="1097"/>
    </row>
    <row r="26" spans="1:37" ht="18" customHeight="1">
      <c r="A26" s="982" t="s">
        <v>397</v>
      </c>
      <c r="B26" s="302" t="s">
        <v>754</v>
      </c>
      <c r="C26" s="21">
        <f ca="1">ROUND((C19+C20)*F26,0)</f>
        <v>47305</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261635</v>
      </c>
      <c r="D29" s="1092"/>
      <c r="E29" s="1090"/>
      <c r="F29" s="1093"/>
      <c r="G29" s="1395"/>
      <c r="H29" s="334" t="s">
        <v>396</v>
      </c>
      <c r="I29" s="335" t="s">
        <v>768</v>
      </c>
      <c r="J29" s="336">
        <f ca="1">ROUND(J26/(1+F40)^F41,0)</f>
        <v>0</v>
      </c>
      <c r="K29" s="337" t="s">
        <v>769</v>
      </c>
      <c r="L29" s="338"/>
      <c r="M29" s="339">
        <f ca="1">INDIRECT("'数据-取费表'!k"&amp;$G$1)</f>
        <v>56.8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3620</v>
      </c>
      <c r="D30" s="1087" t="s">
        <v>715</v>
      </c>
      <c r="E30" s="1088"/>
      <c r="F30" s="1072"/>
      <c r="G30" s="1383"/>
      <c r="H30" s="2694"/>
      <c r="I30" s="1397"/>
      <c r="J30" s="1398"/>
      <c r="K30" s="2472"/>
      <c r="L30" s="2695"/>
      <c r="M30" s="2696"/>
    </row>
    <row r="31" spans="1:37" ht="18" customHeight="1">
      <c r="A31" s="982" t="s">
        <v>398</v>
      </c>
      <c r="B31" s="302" t="s">
        <v>719</v>
      </c>
      <c r="C31" s="2313">
        <f ca="1">ROUND(IF(AND(项目基本情况!B11="自然人",项目基本情况!B10="北京市"),C6*F31/(1+'数据-取费表'!C42),C32+C33+C34),0)</f>
        <v>1846</v>
      </c>
      <c r="D31" s="1344" t="s">
        <v>720</v>
      </c>
      <c r="E31" s="1343" t="s">
        <v>770</v>
      </c>
      <c r="F31" s="2312">
        <f ca="1">IF(项目基本情况!B11="企业","——",IF(M47="住宅",IF(F6*F7*F8/12/(1+'数据-取费表'!F30)&gt;100000,4%,2.5%),IF(F6*F7*F8/12/(1+'数据-取费表'!F30)&gt;100000,12%,7%)))</f>
        <v>2.5000000000000001E-2</v>
      </c>
      <c r="G31" s="1383"/>
      <c r="H31" s="2805" t="s">
        <v>2310</v>
      </c>
      <c r="I31" s="1397"/>
      <c r="J31" s="1398"/>
      <c r="K31" s="2472"/>
      <c r="L31" s="2695"/>
      <c r="M31" s="2696"/>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4"/>
      <c r="I32" s="1397"/>
      <c r="J32" s="1398"/>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t="str">
        <f>IF(项目基本情况!B11="自然人","——",ROUND(F34*F35,0))</f>
        <v>——</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ROUND(C29*F36,0)</f>
        <v>1308</v>
      </c>
      <c r="D36" s="1343" t="s">
        <v>771</v>
      </c>
      <c r="E36" s="302" t="s">
        <v>712</v>
      </c>
      <c r="F36" s="328">
        <f ca="1">INDIRECT("'数据-取费表'!Ak"&amp;$G$1)</f>
        <v>5.0000000000000001E-3</v>
      </c>
      <c r="G36" s="1383"/>
      <c r="H36" s="2697"/>
      <c r="I36" s="1397"/>
      <c r="J36" s="1398"/>
      <c r="K36" s="2541"/>
      <c r="L36" s="2697"/>
      <c r="M36" s="2697"/>
    </row>
    <row r="37" spans="1:18" ht="18" customHeight="1">
      <c r="A37" s="982" t="s">
        <v>437</v>
      </c>
      <c r="B37" s="302" t="s">
        <v>742</v>
      </c>
      <c r="C37" s="21">
        <f ca="1">ROUND(C13*F37,0)</f>
        <v>78</v>
      </c>
      <c r="D37" s="1343" t="s">
        <v>743</v>
      </c>
      <c r="E37" s="302" t="s">
        <v>744</v>
      </c>
      <c r="F37" s="330">
        <f ca="1">INDIRECT("'数据-取费表'!Al"&amp;$G$1)</f>
        <v>5.0000000000000001E-4</v>
      </c>
      <c r="G37" s="1383"/>
      <c r="H37" s="2697"/>
      <c r="I37" s="1397"/>
      <c r="J37" s="1398"/>
      <c r="K37" s="2541"/>
      <c r="L37" s="2697"/>
      <c r="M37" s="2697"/>
    </row>
    <row r="38" spans="1:18" ht="18" customHeight="1" thickBot="1">
      <c r="A38" s="1089" t="s">
        <v>684</v>
      </c>
      <c r="B38" s="1090" t="s">
        <v>728</v>
      </c>
      <c r="C38" s="1091">
        <f ca="1">ROUND(C5*F38,0)</f>
        <v>388</v>
      </c>
      <c r="D38" s="1092" t="s">
        <v>748</v>
      </c>
      <c r="E38" s="1090" t="s">
        <v>744</v>
      </c>
      <c r="F38" s="1086">
        <f ca="1">INDIRECT("'数据-取费表'!Am"&amp;$G$1)</f>
        <v>5.0000000000000001E-3</v>
      </c>
      <c r="G38" s="1383"/>
      <c r="H38" s="2697"/>
      <c r="I38" s="1397"/>
      <c r="J38" s="1398"/>
      <c r="K38" s="2701"/>
      <c r="L38" s="2697"/>
      <c r="M38" s="2697"/>
    </row>
    <row r="39" spans="1:18" ht="24.6" customHeight="1" thickTop="1">
      <c r="A39" s="1079" t="s">
        <v>394</v>
      </c>
      <c r="B39" s="1094" t="s">
        <v>772</v>
      </c>
      <c r="C39" s="310">
        <f ca="1">C5-C30</f>
        <v>73997</v>
      </c>
      <c r="D39" s="1095" t="s">
        <v>773</v>
      </c>
      <c r="E39" s="1096"/>
      <c r="F39" s="1097"/>
      <c r="G39" s="1383"/>
      <c r="H39" s="2697"/>
      <c r="I39" s="1397"/>
      <c r="J39" s="1398"/>
      <c r="K39" s="2701"/>
      <c r="L39" s="2697"/>
      <c r="M39" s="2697"/>
    </row>
    <row r="40" spans="1:18" ht="18" customHeight="1">
      <c r="A40" s="299" t="s">
        <v>395</v>
      </c>
      <c r="B40" s="300" t="s">
        <v>774</v>
      </c>
      <c r="C40" s="301">
        <f ca="1">ROUND(C39*(1-((1+F42)/(1+F40))^F41)/(F40-F42),0)</f>
        <v>3563702</v>
      </c>
      <c r="D40" s="324" t="s">
        <v>758</v>
      </c>
      <c r="E40" s="302" t="s">
        <v>759</v>
      </c>
      <c r="F40" s="312">
        <f ca="1">INDIRECT("'数据-取费表'!I"&amp;$G$1)</f>
        <v>0.04</v>
      </c>
      <c r="G40" s="1383"/>
      <c r="H40" s="1460"/>
      <c r="I40" s="1397"/>
      <c r="J40" s="1398"/>
      <c r="K40" s="2701"/>
      <c r="L40" s="1460"/>
      <c r="M40" s="1460"/>
    </row>
    <row r="41" spans="1:18" ht="18" customHeight="1">
      <c r="A41" s="304"/>
      <c r="B41" s="305"/>
      <c r="C41" s="306"/>
      <c r="D41" s="332" t="s">
        <v>775</v>
      </c>
      <c r="E41" s="302" t="s">
        <v>763</v>
      </c>
      <c r="F41" s="3480">
        <v>68</v>
      </c>
      <c r="G41" s="1383"/>
      <c r="H41" s="1190"/>
      <c r="I41" s="1397"/>
      <c r="J41" s="1398"/>
      <c r="K41" s="2541"/>
      <c r="L41" s="1190"/>
      <c r="M41" s="1190"/>
    </row>
    <row r="42" spans="1:18" ht="18" customHeight="1">
      <c r="A42" s="308"/>
      <c r="B42" s="309"/>
      <c r="C42" s="310"/>
      <c r="D42" s="327"/>
      <c r="E42" s="302" t="s">
        <v>766</v>
      </c>
      <c r="F42" s="312">
        <f ca="1">INDIRECT("'数据-取费表'!v"&amp;$G$1)</f>
        <v>0.03</v>
      </c>
      <c r="G42" s="1383"/>
      <c r="H42" s="1190"/>
      <c r="I42" s="1397"/>
      <c r="J42" s="1398"/>
      <c r="K42" s="2541"/>
      <c r="L42" s="1190"/>
      <c r="M42" s="1190"/>
    </row>
    <row r="43" spans="1:18" ht="18" customHeight="1" thickBot="1">
      <c r="A43" s="334" t="s">
        <v>396</v>
      </c>
      <c r="B43" s="335" t="s">
        <v>776</v>
      </c>
      <c r="C43" s="336">
        <f ca="1">ROUND(C40/F43,0)</f>
        <v>62741</v>
      </c>
      <c r="D43" s="337" t="s">
        <v>777</v>
      </c>
      <c r="E43" s="338" t="s">
        <v>778</v>
      </c>
      <c r="F43" s="339">
        <f ca="1">INDIRECT("'数据-取费表'!k"&amp;$G$1)</f>
        <v>56.8</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3359</v>
      </c>
      <c r="B45" s="1399"/>
      <c r="C45" s="1471">
        <f ca="1">ROUND((C68-C40)/10000,4)</f>
        <v>-359.59449999999998</v>
      </c>
      <c r="D45" s="3429" t="s">
        <v>3360</v>
      </c>
      <c r="E45" s="1399"/>
      <c r="F45" s="1399"/>
      <c r="O45" s="1402" t="s">
        <v>808</v>
      </c>
      <c r="P45" s="1460"/>
      <c r="Q45" s="1460"/>
      <c r="R45" s="1460"/>
    </row>
    <row r="46" spans="1:18" s="1383" customFormat="1" ht="13.5" thickBot="1">
      <c r="A46" s="1403" t="s">
        <v>809</v>
      </c>
      <c r="C46" s="1404">
        <f ca="1">ROUND(C45,0)</f>
        <v>-360</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3391</v>
      </c>
      <c r="K47" s="1415" t="s">
        <v>816</v>
      </c>
      <c r="L47" s="1416">
        <f ca="1">INDIRECT("'数据-取费表'!d"&amp;$G$1)</f>
        <v>70</v>
      </c>
      <c r="M47" s="1379" t="str">
        <f>IF(ISNUMBER(FIND("住宅",C1)),"住宅","非住宅")</f>
        <v>住宅</v>
      </c>
      <c r="O47" s="1417" t="s">
        <v>403</v>
      </c>
      <c r="P47" s="1418" t="s">
        <v>817</v>
      </c>
      <c r="Q47" s="1419">
        <f ca="1">C40+J29</f>
        <v>3563702</v>
      </c>
      <c r="R47" s="1419" t="s">
        <v>818</v>
      </c>
    </row>
    <row r="48" spans="1:18" s="1383" customFormat="1" ht="28.5" thickBot="1">
      <c r="A48" s="1110" t="s">
        <v>438</v>
      </c>
      <c r="B48" s="300" t="s">
        <v>692</v>
      </c>
      <c r="C48" s="1358">
        <f ca="1">C49+C53+C55</f>
        <v>0</v>
      </c>
      <c r="D48" s="1112"/>
      <c r="E48" s="1113"/>
      <c r="F48" s="962"/>
      <c r="G48" s="722"/>
      <c r="H48" s="723"/>
      <c r="I48" s="1420" t="s">
        <v>819</v>
      </c>
      <c r="J48" s="1421" t="s">
        <v>3392</v>
      </c>
      <c r="K48" s="1422" t="s">
        <v>820</v>
      </c>
      <c r="L48" s="1423">
        <f ca="1">INDIRECT("'数据-取费表'!f"&amp;$G$1)</f>
        <v>30</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261635</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40</v>
      </c>
      <c r="K51" s="1433" t="s">
        <v>830</v>
      </c>
      <c r="L51" s="1434">
        <f ca="1">ROUND(-PV(INDIRECT("'数据-取费表'!h"&amp;$G$1),J51,(C39-C13*C76),0),0)</f>
        <v>1262645</v>
      </c>
      <c r="M51" s="1435"/>
      <c r="O51" s="1427" t="s">
        <v>407</v>
      </c>
      <c r="P51" s="1418" t="s">
        <v>831</v>
      </c>
      <c r="Q51" s="1430">
        <f>J52</f>
        <v>7.0000000000000007E-2</v>
      </c>
      <c r="R51" s="1419"/>
    </row>
    <row r="52" spans="1:18" s="1383" customFormat="1" ht="13.5" thickBot="1">
      <c r="A52" s="977"/>
      <c r="B52" s="979"/>
      <c r="C52" s="980"/>
      <c r="D52" s="953"/>
      <c r="E52" s="981" t="s">
        <v>699</v>
      </c>
      <c r="F52" s="1054"/>
      <c r="I52" s="1436" t="s">
        <v>832</v>
      </c>
      <c r="J52" s="1437">
        <v>7.0000000000000007E-2</v>
      </c>
      <c r="K52" s="1436" t="s">
        <v>833</v>
      </c>
      <c r="L52" s="1437"/>
      <c r="O52" s="1427" t="s">
        <v>408</v>
      </c>
      <c r="P52" s="1418" t="s">
        <v>834</v>
      </c>
      <c r="Q52" s="1419">
        <f ca="1">J53</f>
        <v>40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5">
        <f ca="1">IF(M47="住宅",IF(D1="——",MAX(J51,L48),MAX(J51,L48-'数据-取费表'!B24)),IF(D1="——",MIN(J51,L48),MIN(J51,L48-'数据-取费表'!B24)))</f>
        <v>40</v>
      </c>
      <c r="K53" s="3671" t="s">
        <v>837</v>
      </c>
      <c r="L53" s="3672"/>
      <c r="O53" s="1417" t="s">
        <v>409</v>
      </c>
      <c r="P53" s="1418" t="s">
        <v>838</v>
      </c>
      <c r="Q53" s="1419">
        <f ca="1">Q47+Q48</f>
        <v>3563702</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156981</v>
      </c>
      <c r="D56" s="1446"/>
      <c r="E56" s="1447"/>
      <c r="F56" s="1439"/>
      <c r="I56" s="1448" t="s">
        <v>842</v>
      </c>
      <c r="J56" s="1449"/>
      <c r="K56" s="1420" t="s">
        <v>843</v>
      </c>
      <c r="L56" s="1423" t="str">
        <f ca="1">IF(L48&lt;J51,"——",L48-J51)</f>
        <v>——</v>
      </c>
      <c r="O56" s="1417" t="s">
        <v>403</v>
      </c>
      <c r="P56" s="1418" t="s">
        <v>817</v>
      </c>
      <c r="Q56" s="1419">
        <f ca="1">C40+J29</f>
        <v>3563702</v>
      </c>
      <c r="R56" s="1419" t="s">
        <v>818</v>
      </c>
    </row>
    <row r="57" spans="1:18" s="1383" customFormat="1" ht="24.75" thickBot="1">
      <c r="A57" s="1450"/>
      <c r="B57" s="950" t="s">
        <v>767</v>
      </c>
      <c r="C57" s="238">
        <f ca="1">C29</f>
        <v>261635</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1386</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1.5</v>
      </c>
      <c r="I62" s="1461" t="s">
        <v>858</v>
      </c>
      <c r="J62" s="1462" t="s">
        <v>859</v>
      </c>
      <c r="K62" s="1462" t="s">
        <v>860</v>
      </c>
      <c r="L62" s="1462" t="s">
        <v>861</v>
      </c>
      <c r="M62" s="1463" t="s">
        <v>862</v>
      </c>
      <c r="O62" s="1417" t="s">
        <v>409</v>
      </c>
      <c r="P62" s="1418" t="s">
        <v>863</v>
      </c>
      <c r="Q62" s="1419">
        <f ca="1">Q56+Q57</f>
        <v>3563702</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1308</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78</v>
      </c>
      <c r="D65" s="964" t="s">
        <v>743</v>
      </c>
      <c r="E65" s="950" t="s">
        <v>744</v>
      </c>
      <c r="F65" s="330">
        <f t="shared" ca="1" si="0"/>
        <v>5.0000000000000001E-4</v>
      </c>
      <c r="I65" s="1461" t="s">
        <v>867</v>
      </c>
      <c r="J65" s="1462">
        <v>40</v>
      </c>
      <c r="K65" s="1462">
        <v>30</v>
      </c>
      <c r="L65" s="1462">
        <v>50</v>
      </c>
      <c r="M65" s="1464">
        <v>0.02</v>
      </c>
      <c r="O65" s="1417" t="s">
        <v>403</v>
      </c>
      <c r="P65" s="1418" t="s">
        <v>868</v>
      </c>
      <c r="Q65" s="1419">
        <f ca="1">C40+J29</f>
        <v>3563702</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-1386</v>
      </c>
      <c r="D67" s="963" t="s">
        <v>753</v>
      </c>
      <c r="E67" s="968"/>
      <c r="F67" s="969"/>
      <c r="O67" s="1427" t="s">
        <v>405</v>
      </c>
      <c r="P67" s="1418" t="s">
        <v>850</v>
      </c>
      <c r="Q67" s="1465">
        <f ca="1">L51</f>
        <v>1262645</v>
      </c>
      <c r="R67" s="1419" t="s">
        <v>870</v>
      </c>
    </row>
    <row r="68" spans="1:18" s="1383" customFormat="1" ht="16.5" thickBot="1">
      <c r="A68" s="947" t="s">
        <v>395</v>
      </c>
      <c r="B68" s="948" t="s">
        <v>774</v>
      </c>
      <c r="C68" s="301">
        <f ca="1">ROUND(C67*(1-((1+F70)/(1+F68))^F69)/(F68-F70),0)</f>
        <v>-32243</v>
      </c>
      <c r="D68" s="965" t="s">
        <v>758</v>
      </c>
      <c r="E68" s="950" t="s">
        <v>759</v>
      </c>
      <c r="F68" s="312">
        <f ca="1">F40</f>
        <v>0.04</v>
      </c>
      <c r="O68" s="1427" t="s">
        <v>406</v>
      </c>
      <c r="P68" s="1466" t="s">
        <v>871</v>
      </c>
      <c r="Q68" s="1419">
        <f ca="1">ROUND(Q69-Q70*Q71,0)</f>
        <v>63793</v>
      </c>
      <c r="R68" s="1419" t="s">
        <v>414</v>
      </c>
    </row>
    <row r="69" spans="1:18" s="1383" customFormat="1" ht="13.5" thickBot="1">
      <c r="A69" s="951"/>
      <c r="B69" s="952"/>
      <c r="C69" s="306"/>
      <c r="D69" s="970" t="s">
        <v>762</v>
      </c>
      <c r="E69" s="950" t="s">
        <v>763</v>
      </c>
      <c r="F69" s="333">
        <f>F41</f>
        <v>68</v>
      </c>
      <c r="O69" s="1427" t="s">
        <v>411</v>
      </c>
      <c r="P69" s="1466" t="s">
        <v>872</v>
      </c>
      <c r="Q69" s="1419">
        <f ca="1">C39</f>
        <v>73997</v>
      </c>
      <c r="R69" s="1419" t="s">
        <v>818</v>
      </c>
    </row>
    <row r="70" spans="1:18" s="1383" customFormat="1" ht="13.5" thickBot="1">
      <c r="A70" s="954"/>
      <c r="B70" s="955"/>
      <c r="C70" s="310"/>
      <c r="D70" s="966"/>
      <c r="E70" s="950" t="s">
        <v>766</v>
      </c>
      <c r="F70" s="1054"/>
      <c r="O70" s="1427" t="s">
        <v>412</v>
      </c>
      <c r="P70" s="1466" t="s">
        <v>873</v>
      </c>
      <c r="Q70" s="1419">
        <f ca="1">C13</f>
        <v>156981</v>
      </c>
      <c r="R70" s="1419" t="s">
        <v>818</v>
      </c>
    </row>
    <row r="71" spans="1:18" s="1383" customFormat="1" ht="13.5" thickBot="1">
      <c r="A71" s="971" t="s">
        <v>396</v>
      </c>
      <c r="B71" s="972" t="s">
        <v>776</v>
      </c>
      <c r="C71" s="336">
        <f ca="1">ROUND(C68/F71,0)</f>
        <v>-568</v>
      </c>
      <c r="D71" s="973" t="s">
        <v>777</v>
      </c>
      <c r="E71" s="974" t="s">
        <v>778</v>
      </c>
      <c r="F71" s="339">
        <f ca="1">F43</f>
        <v>56.8</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10204</v>
      </c>
      <c r="D75" s="1383"/>
      <c r="E75" s="1383"/>
      <c r="F75" s="1383"/>
      <c r="K75" s="1401"/>
      <c r="L75" s="1383"/>
      <c r="O75" s="1417" t="s">
        <v>409</v>
      </c>
      <c r="P75" s="1418" t="s">
        <v>838</v>
      </c>
      <c r="Q75" s="1419">
        <f ca="1">Q65+Q66</f>
        <v>3563702</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0.86199999999999999</v>
      </c>
    </row>
    <row r="80" spans="1:18">
      <c r="B80" s="340" t="s">
        <v>800</v>
      </c>
      <c r="C80" s="274">
        <f ca="1">ROUND(C75/C39,3)</f>
        <v>0.13800000000000001</v>
      </c>
    </row>
    <row r="81" spans="2:3">
      <c r="B81" s="270" t="s">
        <v>801</v>
      </c>
      <c r="C81" s="238"/>
    </row>
    <row r="82" spans="2:3">
      <c r="B82" s="273" t="s">
        <v>802</v>
      </c>
      <c r="C82" s="275">
        <f ca="1">1-C83</f>
        <v>0.95599999999999996</v>
      </c>
    </row>
    <row r="83" spans="2:3">
      <c r="B83" s="273" t="s">
        <v>803</v>
      </c>
      <c r="C83" s="274">
        <f ca="1">ROUND(C13/C40,3)</f>
        <v>4.3999999999999997E-2</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disablePrompts="1"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sheetPr>
  <dimension ref="N3:P31"/>
  <sheetViews>
    <sheetView topLeftCell="A19" workbookViewId="0">
      <selection activeCell="Q7" sqref="Q7"/>
    </sheetView>
  </sheetViews>
  <sheetFormatPr defaultColWidth="8.875" defaultRowHeight="14.25"/>
  <sheetData>
    <row r="3" spans="14:16">
      <c r="N3">
        <f>ROUND(6800/58,0)</f>
        <v>117</v>
      </c>
      <c r="P3">
        <f>ROUND((N3+N12+N20+N31)/4*'数据-汇总表'!E19,0)</f>
        <v>6674</v>
      </c>
    </row>
    <row r="12" spans="14:16">
      <c r="N12">
        <f>ROUND(5500/46.51,0)</f>
        <v>118</v>
      </c>
    </row>
    <row r="20" spans="14:14">
      <c r="N20">
        <f>ROUND(6500/58,0)</f>
        <v>112</v>
      </c>
    </row>
    <row r="31" spans="14:14">
      <c r="N31">
        <f>ROUND(7000/57,0)</f>
        <v>123</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B10" zoomScale="80" zoomScaleNormal="60" zoomScaleSheetLayoutView="80" workbookViewId="0">
      <selection activeCell="L16" sqref="L16"/>
    </sheetView>
  </sheetViews>
  <sheetFormatPr defaultColWidth="9" defaultRowHeight="14.25"/>
  <cols>
    <col min="1" max="1" width="10.5" style="357" customWidth="1"/>
    <col min="2" max="3" width="15.625" style="357" customWidth="1"/>
    <col min="4" max="4" width="12.125" style="357" customWidth="1"/>
    <col min="5" max="5" width="17.125" style="357" customWidth="1"/>
    <col min="6" max="6" width="12.125" style="357" customWidth="1"/>
    <col min="7" max="7" width="16.5" style="357" customWidth="1"/>
    <col min="8" max="8" width="12.125" style="357" customWidth="1"/>
    <col min="9" max="9" width="15.625" style="357" customWidth="1"/>
    <col min="10" max="10" width="12.125" style="357" customWidth="1"/>
    <col min="11" max="11" width="12.125" style="444" customWidth="1"/>
    <col min="12" max="12" width="12.125" style="445" customWidth="1"/>
    <col min="13" max="15" width="12.125" style="357" customWidth="1"/>
    <col min="16" max="16" width="11.5" style="1913"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877" t="s">
        <v>1661</v>
      </c>
      <c r="C1" s="1237" t="s">
        <v>1662</v>
      </c>
      <c r="D1" s="1224" t="s">
        <v>3384</v>
      </c>
      <c r="E1" s="3423" t="s">
        <v>3393</v>
      </c>
      <c r="F1" s="1878" t="s">
        <v>3394</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f>IF(E1="项目模式",IF(C2="——",ROUND(C49*D3/10000,0),ROUND(C49*D3/10000,0)-D2),IF(E1="单套模式",IF(C2="——",ROUND(C49*D3/10000,4),ROUND(C49*D3/10000,4)-D2)))</f>
        <v>716.8614</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126208</v>
      </c>
      <c r="C3" s="354" t="s">
        <v>1665</v>
      </c>
      <c r="D3" s="353">
        <f>IF(D1="",'数据-汇总表'!E3,SUMIF('数据-汇总表'!$C19:$C33,D1,'数据-汇总表'!$E19:$E33))</f>
        <v>56.8</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1666</v>
      </c>
      <c r="B4" s="356"/>
      <c r="C4" s="3694" t="s">
        <v>1667</v>
      </c>
      <c r="D4" s="3695"/>
      <c r="E4" s="3696" t="s">
        <v>1668</v>
      </c>
      <c r="F4" s="3697"/>
      <c r="G4" s="3694" t="s">
        <v>1669</v>
      </c>
      <c r="H4" s="3695"/>
      <c r="I4" s="3694" t="s">
        <v>1670</v>
      </c>
      <c r="J4" s="3695"/>
      <c r="K4" s="1888" t="s">
        <v>1671</v>
      </c>
      <c r="L4" s="2712"/>
      <c r="M4" s="2713"/>
      <c r="N4" s="2713"/>
      <c r="O4" s="2713"/>
      <c r="P4" s="3698" t="s">
        <v>1672</v>
      </c>
      <c r="Q4" s="3699"/>
      <c r="R4" s="3704" t="s">
        <v>1668</v>
      </c>
      <c r="S4" s="3705"/>
      <c r="T4" s="3704" t="s">
        <v>1669</v>
      </c>
      <c r="U4" s="3705"/>
      <c r="V4" s="3710" t="s">
        <v>1670</v>
      </c>
      <c r="W4" s="3710"/>
      <c r="X4" s="1354"/>
      <c r="Y4" s="3704" t="s">
        <v>1672</v>
      </c>
      <c r="Z4" s="3705"/>
      <c r="AA4" s="3691" t="s">
        <v>1668</v>
      </c>
      <c r="AB4" s="3691" t="s">
        <v>1669</v>
      </c>
      <c r="AC4" s="3691" t="s">
        <v>1670</v>
      </c>
    </row>
    <row r="5" spans="1:29" ht="15">
      <c r="A5" s="358"/>
      <c r="B5" s="359"/>
      <c r="C5" s="3718" t="s">
        <v>3471</v>
      </c>
      <c r="D5" s="3714"/>
      <c r="E5" s="3722" t="str">
        <f>C5</f>
        <v>红莲南里</v>
      </c>
      <c r="F5" s="3723"/>
      <c r="G5" s="3713" t="str">
        <f>C5</f>
        <v>红莲南里</v>
      </c>
      <c r="H5" s="3714"/>
      <c r="I5" s="3713" t="str">
        <f>C5</f>
        <v>红莲南里</v>
      </c>
      <c r="J5" s="3714"/>
      <c r="K5" s="1889"/>
      <c r="L5" s="2712"/>
      <c r="M5" s="2713"/>
      <c r="N5" s="2713"/>
      <c r="O5" s="2713"/>
      <c r="P5" s="3700"/>
      <c r="Q5" s="3701"/>
      <c r="R5" s="3706"/>
      <c r="S5" s="3707"/>
      <c r="T5" s="3706"/>
      <c r="U5" s="3707"/>
      <c r="V5" s="3710"/>
      <c r="W5" s="3710"/>
      <c r="X5" s="1354"/>
      <c r="Y5" s="3706"/>
      <c r="Z5" s="3707"/>
      <c r="AA5" s="3692"/>
      <c r="AB5" s="3692"/>
      <c r="AC5" s="3692"/>
    </row>
    <row r="6" spans="1:29" ht="15.75" thickBot="1">
      <c r="A6" s="360"/>
      <c r="B6" s="361"/>
      <c r="C6" s="3719"/>
      <c r="D6" s="3712"/>
      <c r="E6" s="3720"/>
      <c r="F6" s="3721"/>
      <c r="G6" s="3711"/>
      <c r="H6" s="3712"/>
      <c r="I6" s="3711"/>
      <c r="J6" s="3712"/>
      <c r="K6" s="1889" t="s">
        <v>1678</v>
      </c>
      <c r="L6" s="2712"/>
      <c r="M6" s="2713"/>
      <c r="N6" s="2713"/>
      <c r="O6" s="2713"/>
      <c r="P6" s="3702"/>
      <c r="Q6" s="3703"/>
      <c r="R6" s="3706"/>
      <c r="S6" s="3707"/>
      <c r="T6" s="3708"/>
      <c r="U6" s="3709"/>
      <c r="V6" s="3710"/>
      <c r="W6" s="3710"/>
      <c r="X6" s="1354"/>
      <c r="Y6" s="3708"/>
      <c r="Z6" s="3709"/>
      <c r="AA6" s="3693"/>
      <c r="AB6" s="3693"/>
      <c r="AC6" s="3693"/>
    </row>
    <row r="7" spans="1:29" s="108" customFormat="1" ht="15.75" thickBot="1">
      <c r="A7" s="362" t="s">
        <v>1679</v>
      </c>
      <c r="B7" s="363"/>
      <c r="C7" s="364">
        <f>'数据-取费表'!B2</f>
        <v>45131</v>
      </c>
      <c r="D7" s="365">
        <v>100</v>
      </c>
      <c r="E7" s="366">
        <f>成交案例!P4</f>
        <v>44964</v>
      </c>
      <c r="F7" s="367">
        <f>SUMIF(58:58,YEAR(E7)&amp;"-"&amp;MONTH(E7),59:59)</f>
        <v>98</v>
      </c>
      <c r="G7" s="366">
        <f>成交案例!P7</f>
        <v>44883</v>
      </c>
      <c r="H7" s="365">
        <f>SUMIF(58:58,YEAR(G7)&amp;"-"&amp;MONTH(G7),59:59)</f>
        <v>96</v>
      </c>
      <c r="I7" s="366">
        <f>成交案例!P6</f>
        <v>44918</v>
      </c>
      <c r="J7" s="365">
        <f>SUMIF(58:58,YEAR(I7)&amp;"-"&amp;MONTH(I7),59:59)</f>
        <v>96</v>
      </c>
      <c r="K7" s="1890"/>
      <c r="L7" s="2714"/>
      <c r="M7" s="2715"/>
      <c r="N7" s="2715"/>
      <c r="O7" s="2715"/>
      <c r="P7" s="3715" t="s">
        <v>1680</v>
      </c>
      <c r="Q7" s="3717"/>
      <c r="R7" s="701" t="s">
        <v>20</v>
      </c>
      <c r="S7" s="702">
        <f t="shared" ref="S7:S15" si="0">F7</f>
        <v>98</v>
      </c>
      <c r="T7" s="701" t="s">
        <v>20</v>
      </c>
      <c r="U7" s="702">
        <f t="shared" ref="U7:U15" si="1">H7</f>
        <v>96</v>
      </c>
      <c r="V7" s="701" t="s">
        <v>20</v>
      </c>
      <c r="W7" s="702">
        <f t="shared" ref="W7:W15" si="2">J7</f>
        <v>96</v>
      </c>
      <c r="X7" s="703"/>
      <c r="Y7" s="3715" t="s">
        <v>1680</v>
      </c>
      <c r="Z7" s="3716"/>
      <c r="AA7" s="704">
        <f>D7/F7</f>
        <v>1.0204081632653061</v>
      </c>
      <c r="AB7" s="704">
        <f>D7/H7</f>
        <v>1.0416666666666667</v>
      </c>
      <c r="AC7" s="704">
        <f>D7/J7</f>
        <v>1.0416666666666667</v>
      </c>
    </row>
    <row r="8" spans="1:29" s="108" customFormat="1" ht="15.75" thickBot="1">
      <c r="A8" s="362" t="s">
        <v>1681</v>
      </c>
      <c r="B8" s="363"/>
      <c r="C8" s="368" t="s">
        <v>3395</v>
      </c>
      <c r="D8" s="365">
        <v>100</v>
      </c>
      <c r="E8" s="1891" t="s">
        <v>3395</v>
      </c>
      <c r="F8" s="367">
        <f>SUMIF(61:61,E8,62:62)-SUMIF(61:61,C8,62:62)+100</f>
        <v>100</v>
      </c>
      <c r="G8" s="368" t="s">
        <v>3395</v>
      </c>
      <c r="H8" s="365">
        <f>SUMIF(61:61,G8,62:62)-SUMIF(61:61,C8,62:62)+100</f>
        <v>100</v>
      </c>
      <c r="I8" s="1891" t="s">
        <v>3395</v>
      </c>
      <c r="J8" s="365">
        <f>SUMIF(61:61,I8,62:62)-SUMIF(61:61,C8,62:62)+100</f>
        <v>100</v>
      </c>
      <c r="K8" s="1890"/>
      <c r="L8" s="2714"/>
      <c r="M8" s="2715"/>
      <c r="N8" s="2715"/>
      <c r="O8" s="2715"/>
      <c r="P8" s="3715" t="s">
        <v>1683</v>
      </c>
      <c r="Q8" s="3716"/>
      <c r="R8" s="701" t="s">
        <v>20</v>
      </c>
      <c r="S8" s="702">
        <f t="shared" si="0"/>
        <v>100</v>
      </c>
      <c r="T8" s="701" t="s">
        <v>20</v>
      </c>
      <c r="U8" s="702">
        <f t="shared" si="1"/>
        <v>100</v>
      </c>
      <c r="V8" s="701" t="s">
        <v>20</v>
      </c>
      <c r="W8" s="702">
        <f t="shared" si="2"/>
        <v>100</v>
      </c>
      <c r="X8" s="703"/>
      <c r="Y8" s="3715" t="s">
        <v>1683</v>
      </c>
      <c r="Z8" s="3716"/>
      <c r="AA8" s="704">
        <f t="shared" ref="AA8:AA19" si="3">D8/F8</f>
        <v>1</v>
      </c>
      <c r="AB8" s="704">
        <f t="shared" ref="AB8:AB19" si="4">D8/H8</f>
        <v>1</v>
      </c>
      <c r="AC8" s="704">
        <f t="shared" ref="AC8:AC19" si="5">D8/J8</f>
        <v>1</v>
      </c>
    </row>
    <row r="9" spans="1:29" s="108" customFormat="1">
      <c r="A9" s="369" t="s">
        <v>1684</v>
      </c>
      <c r="B9" s="63" t="s">
        <v>1685</v>
      </c>
      <c r="C9" s="3464" t="s">
        <v>3430</v>
      </c>
      <c r="D9" s="126">
        <v>100</v>
      </c>
      <c r="E9" s="371" t="s">
        <v>3384</v>
      </c>
      <c r="F9" s="372">
        <f>SUMIF(63:63,E9,64:64)-SUMIF(63:63,C9,64:64)+100</f>
        <v>100</v>
      </c>
      <c r="G9" s="371" t="s">
        <v>3384</v>
      </c>
      <c r="H9" s="126">
        <f>SUMIF(63:63,G9,64:64)-SUMIF(63:63,C9,64:64)+100</f>
        <v>100</v>
      </c>
      <c r="I9" s="371" t="s">
        <v>3384</v>
      </c>
      <c r="J9" s="126">
        <f>SUMIF(63:63,I9,64:64)-SUMIF(63:63,C9,64:64)+100</f>
        <v>100</v>
      </c>
      <c r="K9" s="1890"/>
      <c r="L9" s="2714"/>
      <c r="M9" s="2715"/>
      <c r="N9" s="2715"/>
      <c r="O9" s="2715"/>
      <c r="P9" s="3690"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75" thickBot="1">
      <c r="A10" s="374"/>
      <c r="B10" s="375" t="s">
        <v>1688</v>
      </c>
      <c r="C10" s="3431" t="s">
        <v>3490</v>
      </c>
      <c r="D10" s="127">
        <v>100</v>
      </c>
      <c r="E10" s="3432" t="str">
        <f>C10</f>
        <v>20-30（含）</v>
      </c>
      <c r="F10" s="376">
        <f>SUMIF(65:65,E10,66:66)-SUMIF(65:65,C10,66:66)+100</f>
        <v>100</v>
      </c>
      <c r="G10" s="3431" t="str">
        <f>C10</f>
        <v>20-30（含）</v>
      </c>
      <c r="H10" s="127">
        <f>SUMIF(65:65,G10,66:66)-SUMIF(65:65,C10,66:66)+100</f>
        <v>100</v>
      </c>
      <c r="I10" s="3431" t="str">
        <f>C10</f>
        <v>20-30（含）</v>
      </c>
      <c r="J10" s="127">
        <f>SUMIF(65:65,I10,66:66)-SUMIF(65:65,C10,66:66)+100</f>
        <v>100</v>
      </c>
      <c r="K10" s="1890"/>
      <c r="L10" s="2716"/>
      <c r="M10" s="2717"/>
      <c r="N10" s="2717"/>
      <c r="O10" s="2717"/>
      <c r="P10" s="3690"/>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8"/>
      <c r="M11" s="2713"/>
      <c r="N11" s="2713"/>
      <c r="O11" s="2713"/>
      <c r="P11" s="3690"/>
      <c r="Q11" s="1342" t="str">
        <f t="shared" si="6"/>
        <v>容积率</v>
      </c>
      <c r="R11" s="701" t="s">
        <v>18</v>
      </c>
      <c r="S11" s="702">
        <f t="shared" si="0"/>
        <v>100</v>
      </c>
      <c r="T11" s="701" t="s">
        <v>18</v>
      </c>
      <c r="U11" s="702">
        <f t="shared" si="1"/>
        <v>100</v>
      </c>
      <c r="V11" s="701" t="s">
        <v>18</v>
      </c>
      <c r="W11" s="702">
        <f t="shared" si="2"/>
        <v>100</v>
      </c>
      <c r="X11" s="703"/>
      <c r="Y11" s="3575"/>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90"/>
      <c r="Q12" s="1342">
        <f t="shared" si="6"/>
        <v>111</v>
      </c>
      <c r="R12" s="701" t="s">
        <v>18</v>
      </c>
      <c r="S12" s="702">
        <f t="shared" si="0"/>
        <v>100</v>
      </c>
      <c r="T12" s="701" t="s">
        <v>18</v>
      </c>
      <c r="U12" s="702">
        <f t="shared" si="1"/>
        <v>100</v>
      </c>
      <c r="V12" s="701" t="s">
        <v>18</v>
      </c>
      <c r="W12" s="702">
        <f t="shared" si="2"/>
        <v>100</v>
      </c>
      <c r="X12" s="703"/>
      <c r="Y12" s="3575"/>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90"/>
      <c r="Q13" s="1342">
        <f t="shared" si="6"/>
        <v>111</v>
      </c>
      <c r="R13" s="701" t="s">
        <v>18</v>
      </c>
      <c r="S13" s="702">
        <f t="shared" si="0"/>
        <v>100</v>
      </c>
      <c r="T13" s="701" t="s">
        <v>18</v>
      </c>
      <c r="U13" s="702">
        <f t="shared" si="1"/>
        <v>100</v>
      </c>
      <c r="V13" s="701" t="s">
        <v>18</v>
      </c>
      <c r="W13" s="702">
        <f t="shared" si="2"/>
        <v>100</v>
      </c>
      <c r="X13" s="703"/>
      <c r="Y13" s="3575"/>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90"/>
      <c r="Q14" s="1342">
        <f t="shared" si="6"/>
        <v>111</v>
      </c>
      <c r="R14" s="701" t="s">
        <v>18</v>
      </c>
      <c r="S14" s="702">
        <f t="shared" si="0"/>
        <v>100</v>
      </c>
      <c r="T14" s="701" t="s">
        <v>18</v>
      </c>
      <c r="U14" s="702">
        <f t="shared" si="1"/>
        <v>100</v>
      </c>
      <c r="V14" s="701" t="s">
        <v>18</v>
      </c>
      <c r="W14" s="702">
        <f t="shared" si="2"/>
        <v>100</v>
      </c>
      <c r="X14" s="703"/>
      <c r="Y14" s="3575"/>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88" t="s">
        <v>1691</v>
      </c>
      <c r="Q15" s="1351" t="str">
        <f t="shared" si="6"/>
        <v>居住社区成熟度</v>
      </c>
      <c r="R15" s="705" t="s">
        <v>18</v>
      </c>
      <c r="S15" s="706">
        <f t="shared" si="0"/>
        <v>100</v>
      </c>
      <c r="T15" s="705" t="s">
        <v>18</v>
      </c>
      <c r="U15" s="706">
        <f t="shared" si="1"/>
        <v>100</v>
      </c>
      <c r="V15" s="705" t="s">
        <v>18</v>
      </c>
      <c r="W15" s="706">
        <f t="shared" si="2"/>
        <v>100</v>
      </c>
      <c r="X15" s="1354"/>
      <c r="Y15" s="3681" t="s">
        <v>1691</v>
      </c>
      <c r="Z15" s="1355" t="str">
        <f t="shared" si="7"/>
        <v>居住社区成熟度</v>
      </c>
      <c r="AA15" s="1352">
        <f t="shared" si="3"/>
        <v>1</v>
      </c>
      <c r="AB15" s="1352">
        <f t="shared" si="4"/>
        <v>1</v>
      </c>
      <c r="AC15" s="1352">
        <f t="shared" si="5"/>
        <v>1</v>
      </c>
    </row>
    <row r="16" spans="1:29" ht="15">
      <c r="A16" s="379"/>
      <c r="B16" s="397"/>
      <c r="C16" s="398" t="s">
        <v>3412</v>
      </c>
      <c r="D16" s="399"/>
      <c r="E16" s="398" t="s">
        <v>3412</v>
      </c>
      <c r="F16" s="399"/>
      <c r="G16" s="398" t="s">
        <v>3412</v>
      </c>
      <c r="H16" s="401"/>
      <c r="I16" s="398" t="s">
        <v>3412</v>
      </c>
      <c r="J16" s="399"/>
      <c r="K16" s="1898"/>
      <c r="L16" s="2719"/>
      <c r="M16" s="2713"/>
      <c r="N16" s="2713"/>
      <c r="O16" s="2713"/>
      <c r="P16" s="3689"/>
      <c r="Q16" s="1351"/>
      <c r="R16" s="705"/>
      <c r="S16" s="706"/>
      <c r="T16" s="705"/>
      <c r="U16" s="706"/>
      <c r="V16" s="705"/>
      <c r="W16" s="706"/>
      <c r="X16" s="1354"/>
      <c r="Y16" s="368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9"/>
      <c r="Q17" s="1351" t="str">
        <f>B17</f>
        <v>交通便捷度</v>
      </c>
      <c r="R17" s="705" t="s">
        <v>18</v>
      </c>
      <c r="S17" s="706">
        <f>F17</f>
        <v>100</v>
      </c>
      <c r="T17" s="705" t="s">
        <v>18</v>
      </c>
      <c r="U17" s="706">
        <f>H17</f>
        <v>100</v>
      </c>
      <c r="V17" s="705" t="s">
        <v>18</v>
      </c>
      <c r="W17" s="706">
        <f>J17</f>
        <v>100</v>
      </c>
      <c r="X17" s="1354"/>
      <c r="Y17" s="3682"/>
      <c r="Z17" s="1355" t="str">
        <f>Q17</f>
        <v>交通便捷度</v>
      </c>
      <c r="AA17" s="1352">
        <f t="shared" si="3"/>
        <v>1</v>
      </c>
      <c r="AB17" s="1352">
        <f t="shared" si="4"/>
        <v>1</v>
      </c>
      <c r="AC17" s="1352">
        <f t="shared" si="5"/>
        <v>1</v>
      </c>
    </row>
    <row r="18" spans="1:29" ht="15">
      <c r="A18" s="379"/>
      <c r="B18" s="407"/>
      <c r="C18" s="398" t="s">
        <v>3412</v>
      </c>
      <c r="D18" s="401"/>
      <c r="E18" s="398" t="s">
        <v>3412</v>
      </c>
      <c r="F18" s="401"/>
      <c r="G18" s="398" t="s">
        <v>3412</v>
      </c>
      <c r="H18" s="399"/>
      <c r="I18" s="398" t="s">
        <v>3412</v>
      </c>
      <c r="J18" s="399"/>
      <c r="K18" s="1898"/>
      <c r="L18" s="2719"/>
      <c r="M18" s="2713"/>
      <c r="N18" s="2713"/>
      <c r="O18" s="2713"/>
      <c r="P18" s="3689"/>
      <c r="Q18" s="1351"/>
      <c r="R18" s="705"/>
      <c r="S18" s="706"/>
      <c r="T18" s="705"/>
      <c r="U18" s="706"/>
      <c r="V18" s="705"/>
      <c r="W18" s="706"/>
      <c r="X18" s="1354"/>
      <c r="Y18" s="368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9"/>
      <c r="Q19" s="1351" t="str">
        <f>B19</f>
        <v>公共配套设施</v>
      </c>
      <c r="R19" s="705" t="s">
        <v>18</v>
      </c>
      <c r="S19" s="706">
        <f>F19</f>
        <v>100</v>
      </c>
      <c r="T19" s="705" t="s">
        <v>18</v>
      </c>
      <c r="U19" s="706">
        <f>H19</f>
        <v>100</v>
      </c>
      <c r="V19" s="705" t="s">
        <v>18</v>
      </c>
      <c r="W19" s="706">
        <f>J19</f>
        <v>100</v>
      </c>
      <c r="X19" s="1354"/>
      <c r="Y19" s="3682"/>
      <c r="Z19" s="1355" t="str">
        <f>Q19</f>
        <v>公共配套设施</v>
      </c>
      <c r="AA19" s="1352">
        <f t="shared" si="3"/>
        <v>1</v>
      </c>
      <c r="AB19" s="1352">
        <f t="shared" si="4"/>
        <v>1</v>
      </c>
      <c r="AC19" s="1352">
        <f t="shared" si="5"/>
        <v>1</v>
      </c>
    </row>
    <row r="20" spans="1:29" ht="15">
      <c r="A20" s="379"/>
      <c r="B20" s="407"/>
      <c r="C20" s="398" t="s">
        <v>3412</v>
      </c>
      <c r="D20" s="399"/>
      <c r="E20" s="398" t="s">
        <v>3412</v>
      </c>
      <c r="F20" s="399"/>
      <c r="G20" s="398" t="s">
        <v>3412</v>
      </c>
      <c r="H20" s="399"/>
      <c r="I20" s="398" t="s">
        <v>3412</v>
      </c>
      <c r="J20" s="399"/>
      <c r="K20" s="1898"/>
      <c r="L20" s="2719"/>
      <c r="M20" s="2713"/>
      <c r="N20" s="2713"/>
      <c r="O20" s="2713"/>
      <c r="P20" s="3689"/>
      <c r="Q20" s="1351"/>
      <c r="R20" s="705"/>
      <c r="S20" s="706"/>
      <c r="T20" s="705"/>
      <c r="U20" s="706"/>
      <c r="V20" s="705"/>
      <c r="W20" s="706"/>
      <c r="X20" s="1354"/>
      <c r="Y20" s="3682"/>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9"/>
      <c r="Q21" s="1351" t="str">
        <f>B21</f>
        <v>基础设施水平</v>
      </c>
      <c r="R21" s="705" t="s">
        <v>14</v>
      </c>
      <c r="S21" s="706">
        <f>F21</f>
        <v>100</v>
      </c>
      <c r="T21" s="705" t="s">
        <v>14</v>
      </c>
      <c r="U21" s="706">
        <f>H21</f>
        <v>100</v>
      </c>
      <c r="V21" s="705" t="s">
        <v>14</v>
      </c>
      <c r="W21" s="706">
        <f>J21</f>
        <v>100</v>
      </c>
      <c r="X21" s="1354"/>
      <c r="Y21" s="3682"/>
      <c r="Z21" s="1355" t="str">
        <f>Q21</f>
        <v>基础设施水平</v>
      </c>
      <c r="AA21" s="1352">
        <f t="shared" ref="AA21" si="8">D21/F21</f>
        <v>1</v>
      </c>
      <c r="AB21" s="1352">
        <f t="shared" ref="AB21" si="9">D21/H21</f>
        <v>1</v>
      </c>
      <c r="AC21" s="1352">
        <f t="shared" ref="AC21" si="10">D21/J21</f>
        <v>1</v>
      </c>
    </row>
    <row r="22" spans="1:29" ht="15">
      <c r="A22" s="379"/>
      <c r="B22" s="1131"/>
      <c r="C22" s="1900" t="s">
        <v>3421</v>
      </c>
      <c r="D22" s="399"/>
      <c r="E22" s="1900" t="s">
        <v>3421</v>
      </c>
      <c r="F22" s="399"/>
      <c r="G22" s="1900" t="s">
        <v>3421</v>
      </c>
      <c r="H22" s="399"/>
      <c r="I22" s="1900" t="s">
        <v>3421</v>
      </c>
      <c r="J22" s="399"/>
      <c r="K22" s="1904"/>
      <c r="L22" s="2719"/>
      <c r="M22" s="2713"/>
      <c r="N22" s="2713"/>
      <c r="O22" s="2713"/>
      <c r="P22" s="3689"/>
      <c r="Q22" s="1351"/>
      <c r="R22" s="705"/>
      <c r="S22" s="706"/>
      <c r="T22" s="705"/>
      <c r="U22" s="706"/>
      <c r="V22" s="705"/>
      <c r="W22" s="706"/>
      <c r="X22" s="1354"/>
      <c r="Y22" s="368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9"/>
      <c r="Q23" s="1351" t="str">
        <f>B23</f>
        <v>自然及人文环境</v>
      </c>
      <c r="R23" s="705" t="s">
        <v>18</v>
      </c>
      <c r="S23" s="706">
        <f>F23</f>
        <v>100</v>
      </c>
      <c r="T23" s="705" t="s">
        <v>18</v>
      </c>
      <c r="U23" s="706">
        <f>H23</f>
        <v>100</v>
      </c>
      <c r="V23" s="705" t="s">
        <v>18</v>
      </c>
      <c r="W23" s="706">
        <f>J23</f>
        <v>100</v>
      </c>
      <c r="X23" s="1354"/>
      <c r="Y23" s="3682"/>
      <c r="Z23" s="1355" t="str">
        <f>Q23</f>
        <v>自然及人文环境</v>
      </c>
      <c r="AA23" s="1352">
        <f>D23/F23</f>
        <v>1</v>
      </c>
      <c r="AB23" s="1352">
        <f>D23/H23</f>
        <v>1</v>
      </c>
      <c r="AC23" s="1352">
        <f>D23/J23</f>
        <v>1</v>
      </c>
    </row>
    <row r="24" spans="1:29" ht="15">
      <c r="A24" s="379"/>
      <c r="B24" s="407"/>
      <c r="C24" s="398" t="s">
        <v>3412</v>
      </c>
      <c r="D24" s="399"/>
      <c r="E24" s="398" t="s">
        <v>3412</v>
      </c>
      <c r="F24" s="399"/>
      <c r="G24" s="398" t="s">
        <v>3412</v>
      </c>
      <c r="H24" s="399"/>
      <c r="I24" s="398" t="s">
        <v>3412</v>
      </c>
      <c r="J24" s="399"/>
      <c r="K24" s="1898"/>
      <c r="L24" s="2719"/>
      <c r="M24" s="2713"/>
      <c r="N24" s="2713"/>
      <c r="O24" s="2713"/>
      <c r="P24" s="3689"/>
      <c r="Q24" s="1351"/>
      <c r="R24" s="705"/>
      <c r="S24" s="706"/>
      <c r="T24" s="705"/>
      <c r="U24" s="706"/>
      <c r="V24" s="705"/>
      <c r="W24" s="706"/>
      <c r="X24" s="1354"/>
      <c r="Y24" s="3682"/>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68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82"/>
      <c r="Z25" s="1355" t="str">
        <f>Q25</f>
        <v>楼层-1</v>
      </c>
      <c r="AA25" s="1352">
        <f t="shared" ref="AA25:AA46" si="15">D25/F25</f>
        <v>1</v>
      </c>
      <c r="AB25" s="1352">
        <f t="shared" ref="AB25:AB46" si="16">D25/H25</f>
        <v>1</v>
      </c>
      <c r="AC25" s="1352">
        <f t="shared" ref="AC25:AC46" si="17">D25/J25</f>
        <v>1</v>
      </c>
    </row>
    <row r="26" spans="1:29" ht="15">
      <c r="A26" s="379"/>
      <c r="B26" s="375" t="s">
        <v>1693</v>
      </c>
      <c r="C26" s="3474" t="s">
        <v>3396</v>
      </c>
      <c r="D26" s="386">
        <v>100</v>
      </c>
      <c r="E26" s="1905" t="s">
        <v>3483</v>
      </c>
      <c r="F26" s="386">
        <f>SUMIF(88:88,E26,89:89)-SUMIF(88:88,C26,89:89)+100</f>
        <v>101</v>
      </c>
      <c r="G26" s="1906" t="s">
        <v>3396</v>
      </c>
      <c r="H26" s="386">
        <f>SUMIF(88:88,G26,89:89)-SUMIF(88:88,C26,89:89)+100</f>
        <v>100</v>
      </c>
      <c r="I26" s="1906" t="s">
        <v>3396</v>
      </c>
      <c r="J26" s="386">
        <f>SUMIF(88:88,I26,89:89)-SUMIF(88:88,C26,89:89)+100</f>
        <v>100</v>
      </c>
      <c r="K26" s="377">
        <v>1</v>
      </c>
      <c r="L26" s="2719"/>
      <c r="M26" s="2713"/>
      <c r="N26" s="2713"/>
      <c r="O26" s="2713"/>
      <c r="P26" s="3689"/>
      <c r="Q26" s="1351" t="str">
        <f t="shared" si="11"/>
        <v>朝向</v>
      </c>
      <c r="R26" s="705" t="s">
        <v>18</v>
      </c>
      <c r="S26" s="706">
        <f t="shared" si="12"/>
        <v>101</v>
      </c>
      <c r="T26" s="705" t="s">
        <v>18</v>
      </c>
      <c r="U26" s="706">
        <f t="shared" si="13"/>
        <v>100</v>
      </c>
      <c r="V26" s="705" t="s">
        <v>18</v>
      </c>
      <c r="W26" s="706">
        <f t="shared" si="14"/>
        <v>100</v>
      </c>
      <c r="X26" s="1354"/>
      <c r="Y26" s="3682"/>
      <c r="Z26" s="1355" t="str">
        <f>Q26</f>
        <v>朝向</v>
      </c>
      <c r="AA26" s="1352">
        <f t="shared" si="15"/>
        <v>0.99009900990099009</v>
      </c>
      <c r="AB26" s="1352">
        <f t="shared" si="16"/>
        <v>1</v>
      </c>
      <c r="AC26" s="1352">
        <f t="shared" si="17"/>
        <v>1</v>
      </c>
    </row>
    <row r="27" spans="1:29" s="108" customFormat="1" ht="15">
      <c r="A27" s="382"/>
      <c r="B27" s="3454" t="s">
        <v>3402</v>
      </c>
      <c r="C27" s="3467" t="s">
        <v>3438</v>
      </c>
      <c r="D27" s="413">
        <v>100</v>
      </c>
      <c r="E27" s="3467" t="s">
        <v>3438</v>
      </c>
      <c r="F27" s="413">
        <f>SUMIF(90:90,E27,91:91)-SUMIF(90:90,C27,91:91)+100</f>
        <v>100</v>
      </c>
      <c r="G27" s="3467" t="s">
        <v>3438</v>
      </c>
      <c r="H27" s="413">
        <f>SUMIF(90:90,G27,91:91)-SUMIF(90:90,C27,91:91)+100</f>
        <v>100</v>
      </c>
      <c r="I27" s="3467" t="s">
        <v>3438</v>
      </c>
      <c r="J27" s="413">
        <f>SUMIF(90:90,I27,91:91)-SUMIF(90:90,C27,91:91)+100</f>
        <v>100</v>
      </c>
      <c r="K27" s="1893"/>
      <c r="L27" s="2714"/>
      <c r="M27" s="2715"/>
      <c r="N27" s="2715"/>
      <c r="O27" s="2715"/>
      <c r="P27" s="3689"/>
      <c r="Q27" s="1342" t="str">
        <f t="shared" si="11"/>
        <v>道路级别</v>
      </c>
      <c r="R27" s="701" t="s">
        <v>18</v>
      </c>
      <c r="S27" s="702">
        <f t="shared" si="12"/>
        <v>100</v>
      </c>
      <c r="T27" s="701" t="s">
        <v>18</v>
      </c>
      <c r="U27" s="702">
        <f t="shared" si="13"/>
        <v>100</v>
      </c>
      <c r="V27" s="701" t="s">
        <v>18</v>
      </c>
      <c r="W27" s="702">
        <f t="shared" si="14"/>
        <v>100</v>
      </c>
      <c r="X27" s="703"/>
      <c r="Y27" s="3682"/>
      <c r="Z27" s="52" t="str">
        <f>Q27</f>
        <v>道路级别</v>
      </c>
      <c r="AA27" s="1352">
        <f t="shared" si="15"/>
        <v>1</v>
      </c>
      <c r="AB27" s="1352">
        <f t="shared" si="16"/>
        <v>1</v>
      </c>
      <c r="AC27" s="1352">
        <f t="shared" si="17"/>
        <v>1</v>
      </c>
    </row>
    <row r="28" spans="1:29" ht="15.75" thickBot="1">
      <c r="A28" s="379"/>
      <c r="B28" s="3454" t="s">
        <v>3429</v>
      </c>
      <c r="C28" s="385" t="s">
        <v>3491</v>
      </c>
      <c r="D28" s="386">
        <v>100</v>
      </c>
      <c r="E28" s="3479" t="s">
        <v>3492</v>
      </c>
      <c r="F28" s="386">
        <f>SUMIF(92:92,E28,93:93)-SUMIF(92:92,C28,93:93)+100</f>
        <v>94</v>
      </c>
      <c r="G28" s="3479" t="s">
        <v>3494</v>
      </c>
      <c r="H28" s="386">
        <f>SUMIF(92:92,G28,93:93)-SUMIF(92:92,C28,93:93)+100</f>
        <v>100</v>
      </c>
      <c r="I28" s="3479" t="s">
        <v>3492</v>
      </c>
      <c r="J28" s="386">
        <f>SUMIF(92:92,I28,93:93)-SUMIF(92:92,C28,93:93)+100</f>
        <v>94</v>
      </c>
      <c r="K28" s="1893"/>
      <c r="L28" s="2719"/>
      <c r="M28" s="2713"/>
      <c r="N28" s="2713"/>
      <c r="O28" s="2713"/>
      <c r="P28" s="3689"/>
      <c r="Q28" s="1351" t="str">
        <f t="shared" si="11"/>
        <v>楼层</v>
      </c>
      <c r="R28" s="705" t="s">
        <v>18</v>
      </c>
      <c r="S28" s="706">
        <f t="shared" si="12"/>
        <v>94</v>
      </c>
      <c r="T28" s="705" t="s">
        <v>18</v>
      </c>
      <c r="U28" s="706">
        <f t="shared" si="13"/>
        <v>100</v>
      </c>
      <c r="V28" s="705" t="s">
        <v>18</v>
      </c>
      <c r="W28" s="706">
        <f t="shared" si="14"/>
        <v>94</v>
      </c>
      <c r="X28" s="1354"/>
      <c r="Y28" s="3682"/>
      <c r="Z28" s="1355" t="str">
        <f t="shared" ref="Z28:Z46" si="18">Q28</f>
        <v>楼层</v>
      </c>
      <c r="AA28" s="1352">
        <f t="shared" si="15"/>
        <v>1.0638297872340425</v>
      </c>
      <c r="AB28" s="1352">
        <f t="shared" si="16"/>
        <v>1</v>
      </c>
      <c r="AC28" s="1352">
        <f t="shared" si="17"/>
        <v>1.0638297872340425</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689"/>
      <c r="Q29" s="1351">
        <f t="shared" si="11"/>
        <v>111</v>
      </c>
      <c r="R29" s="705" t="s">
        <v>18</v>
      </c>
      <c r="S29" s="706">
        <f t="shared" si="12"/>
        <v>100</v>
      </c>
      <c r="T29" s="705" t="s">
        <v>18</v>
      </c>
      <c r="U29" s="706">
        <f t="shared" si="13"/>
        <v>100</v>
      </c>
      <c r="V29" s="705" t="s">
        <v>18</v>
      </c>
      <c r="W29" s="706">
        <f t="shared" si="14"/>
        <v>100</v>
      </c>
      <c r="X29" s="1354"/>
      <c r="Y29" s="3682"/>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689"/>
      <c r="Q30" s="1351">
        <f t="shared" si="11"/>
        <v>111</v>
      </c>
      <c r="R30" s="705" t="s">
        <v>18</v>
      </c>
      <c r="S30" s="706">
        <f t="shared" si="12"/>
        <v>100</v>
      </c>
      <c r="T30" s="705" t="s">
        <v>18</v>
      </c>
      <c r="U30" s="706">
        <f t="shared" si="13"/>
        <v>100</v>
      </c>
      <c r="V30" s="705" t="s">
        <v>18</v>
      </c>
      <c r="W30" s="706">
        <f t="shared" si="14"/>
        <v>100</v>
      </c>
      <c r="X30" s="1354"/>
      <c r="Y30" s="3682"/>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689"/>
      <c r="Q31" s="1351">
        <f t="shared" si="11"/>
        <v>111</v>
      </c>
      <c r="R31" s="705" t="s">
        <v>18</v>
      </c>
      <c r="S31" s="706">
        <f t="shared" si="12"/>
        <v>100</v>
      </c>
      <c r="T31" s="705" t="s">
        <v>18</v>
      </c>
      <c r="U31" s="706">
        <f t="shared" si="13"/>
        <v>100</v>
      </c>
      <c r="V31" s="705" t="s">
        <v>18</v>
      </c>
      <c r="W31" s="706">
        <f t="shared" si="14"/>
        <v>100</v>
      </c>
      <c r="X31" s="1354"/>
      <c r="Y31" s="3682"/>
      <c r="Z31" s="1355">
        <f t="shared" si="18"/>
        <v>111</v>
      </c>
      <c r="AA31" s="1352">
        <f t="shared" si="15"/>
        <v>1</v>
      </c>
      <c r="AB31" s="1352">
        <f t="shared" si="16"/>
        <v>1</v>
      </c>
      <c r="AC31" s="1352">
        <f t="shared" si="17"/>
        <v>1</v>
      </c>
    </row>
    <row r="32" spans="1:29" ht="15">
      <c r="A32" s="391" t="s">
        <v>1694</v>
      </c>
      <c r="B32" s="63" t="s">
        <v>1695</v>
      </c>
      <c r="C32" s="1909" t="s">
        <v>3403</v>
      </c>
      <c r="D32" s="418">
        <v>100</v>
      </c>
      <c r="E32" s="1909" t="s">
        <v>3403</v>
      </c>
      <c r="F32" s="412">
        <f>SUMIF(100:100,E32,101:101)-SUMIF(100:100,C32,101:101)+100</f>
        <v>100</v>
      </c>
      <c r="G32" s="1909" t="s">
        <v>3403</v>
      </c>
      <c r="H32" s="418">
        <f>SUMIF(100:100,G32,101:101)-SUMIF(100:100,C32,101:101)+100</f>
        <v>100</v>
      </c>
      <c r="I32" s="1909" t="s">
        <v>3403</v>
      </c>
      <c r="J32" s="386">
        <f>SUMIF(100:100,I32,101:101)-SUMIF(100:100,C32,101:101)+100</f>
        <v>100</v>
      </c>
      <c r="K32" s="377"/>
      <c r="L32" s="2719"/>
      <c r="M32" s="2713"/>
      <c r="N32" s="2713"/>
      <c r="O32" s="2713"/>
      <c r="P32" s="3683" t="s">
        <v>1696</v>
      </c>
      <c r="Q32" s="1351" t="str">
        <f t="shared" si="11"/>
        <v>建筑类型</v>
      </c>
      <c r="R32" s="705" t="s">
        <v>18</v>
      </c>
      <c r="S32" s="706">
        <f t="shared" si="12"/>
        <v>100</v>
      </c>
      <c r="T32" s="705" t="s">
        <v>18</v>
      </c>
      <c r="U32" s="706">
        <f t="shared" si="13"/>
        <v>100</v>
      </c>
      <c r="V32" s="705" t="s">
        <v>18</v>
      </c>
      <c r="W32" s="706">
        <f t="shared" si="14"/>
        <v>100</v>
      </c>
      <c r="X32" s="1354"/>
      <c r="Y32" s="3686" t="s">
        <v>1696</v>
      </c>
      <c r="Z32" s="1355" t="str">
        <f t="shared" si="18"/>
        <v>建筑类型</v>
      </c>
      <c r="AA32" s="1352">
        <f t="shared" si="15"/>
        <v>1</v>
      </c>
      <c r="AB32" s="1352">
        <f t="shared" si="16"/>
        <v>1</v>
      </c>
      <c r="AC32" s="1352">
        <f t="shared" si="17"/>
        <v>1</v>
      </c>
    </row>
    <row r="33" spans="1:29" s="422" customFormat="1" ht="15" hidden="1">
      <c r="A33" s="419"/>
      <c r="B33" s="375" t="s">
        <v>1697</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3"/>
      <c r="L33" s="2718"/>
      <c r="M33" s="2720"/>
      <c r="N33" s="2720"/>
      <c r="O33" s="2720"/>
      <c r="P33" s="3684"/>
      <c r="Q33" s="707" t="str">
        <f t="shared" si="11"/>
        <v>项目建筑规模</v>
      </c>
      <c r="R33" s="708" t="s">
        <v>18</v>
      </c>
      <c r="S33" s="709">
        <f t="shared" si="12"/>
        <v>100</v>
      </c>
      <c r="T33" s="708" t="s">
        <v>18</v>
      </c>
      <c r="U33" s="709">
        <f t="shared" si="13"/>
        <v>100</v>
      </c>
      <c r="V33" s="708" t="s">
        <v>18</v>
      </c>
      <c r="W33" s="709">
        <f t="shared" si="14"/>
        <v>100</v>
      </c>
      <c r="X33" s="710"/>
      <c r="Y33" s="3686"/>
      <c r="Z33" s="711" t="str">
        <f t="shared" si="18"/>
        <v>项目建筑规模</v>
      </c>
      <c r="AA33" s="1352">
        <f t="shared" si="15"/>
        <v>1</v>
      </c>
      <c r="AB33" s="1352">
        <f t="shared" si="16"/>
        <v>1</v>
      </c>
      <c r="AC33" s="1352">
        <f t="shared" si="17"/>
        <v>1</v>
      </c>
    </row>
    <row r="34" spans="1:29" ht="15">
      <c r="A34" s="423"/>
      <c r="B34" s="375" t="s">
        <v>1698</v>
      </c>
      <c r="C34" s="1910" t="s">
        <v>3410</v>
      </c>
      <c r="D34" s="386">
        <v>100</v>
      </c>
      <c r="E34" s="1910" t="s">
        <v>3410</v>
      </c>
      <c r="F34" s="412">
        <f>SUMIF(105:105,E34,106:106)-SUMIF(105:105,C34,106:106)+100</f>
        <v>100</v>
      </c>
      <c r="G34" s="1910" t="s">
        <v>3410</v>
      </c>
      <c r="H34" s="386">
        <f>SUMIF(105:105,G34,106:106)-SUMIF(105:105,C34,106:106)+100</f>
        <v>100</v>
      </c>
      <c r="I34" s="1910" t="s">
        <v>3410</v>
      </c>
      <c r="J34" s="386">
        <f>SUMIF(105:105,I34,106:106)-SUMIF(105:105,C34,106:106)+100</f>
        <v>100</v>
      </c>
      <c r="K34" s="377"/>
      <c r="L34" s="2719"/>
      <c r="M34" s="2713"/>
      <c r="N34" s="2713"/>
      <c r="O34" s="2713"/>
      <c r="P34" s="3684"/>
      <c r="Q34" s="1351" t="str">
        <f t="shared" si="11"/>
        <v>建筑结构</v>
      </c>
      <c r="R34" s="705" t="s">
        <v>18</v>
      </c>
      <c r="S34" s="706">
        <f t="shared" si="12"/>
        <v>100</v>
      </c>
      <c r="T34" s="705" t="s">
        <v>18</v>
      </c>
      <c r="U34" s="706">
        <f t="shared" si="13"/>
        <v>100</v>
      </c>
      <c r="V34" s="705" t="s">
        <v>18</v>
      </c>
      <c r="W34" s="706">
        <f t="shared" si="14"/>
        <v>100</v>
      </c>
      <c r="X34" s="1354"/>
      <c r="Y34" s="3686"/>
      <c r="Z34" s="1355" t="str">
        <f t="shared" si="18"/>
        <v>建筑结构</v>
      </c>
      <c r="AA34" s="1352">
        <f t="shared" si="15"/>
        <v>1</v>
      </c>
      <c r="AB34" s="1352">
        <f t="shared" si="16"/>
        <v>1</v>
      </c>
      <c r="AC34" s="1352">
        <f t="shared" si="17"/>
        <v>1</v>
      </c>
    </row>
    <row r="35" spans="1:29" ht="15" hidden="1">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684"/>
      <c r="Q35" s="1351" t="str">
        <f t="shared" si="11"/>
        <v>建筑品质</v>
      </c>
      <c r="R35" s="705" t="s">
        <v>18</v>
      </c>
      <c r="S35" s="706">
        <f t="shared" si="12"/>
        <v>100</v>
      </c>
      <c r="T35" s="705" t="s">
        <v>18</v>
      </c>
      <c r="U35" s="706">
        <f t="shared" si="13"/>
        <v>100</v>
      </c>
      <c r="V35" s="705" t="s">
        <v>18</v>
      </c>
      <c r="W35" s="706">
        <f t="shared" si="14"/>
        <v>100</v>
      </c>
      <c r="X35" s="1354"/>
      <c r="Y35" s="3686"/>
      <c r="Z35" s="1355" t="str">
        <f t="shared" si="18"/>
        <v>建筑品质</v>
      </c>
      <c r="AA35" s="1352">
        <f t="shared" si="15"/>
        <v>1</v>
      </c>
      <c r="AB35" s="1352">
        <f t="shared" si="16"/>
        <v>1</v>
      </c>
      <c r="AC35" s="1352">
        <f t="shared" si="17"/>
        <v>1</v>
      </c>
    </row>
    <row r="36" spans="1:29" ht="15">
      <c r="A36" s="423"/>
      <c r="B36" s="375" t="s">
        <v>1700</v>
      </c>
      <c r="C36" s="1905" t="s">
        <v>3416</v>
      </c>
      <c r="D36" s="386">
        <v>100</v>
      </c>
      <c r="E36" s="1905" t="s">
        <v>3416</v>
      </c>
      <c r="F36" s="412">
        <f>SUMIF(109:109,E36,110:110)-SUMIF(109:109,C36,110:110)+100</f>
        <v>100</v>
      </c>
      <c r="G36" s="1905" t="s">
        <v>3416</v>
      </c>
      <c r="H36" s="386">
        <f>SUMIF(109:109,G36,110:110)-SUMIF(109:109,C36,110:110)+100</f>
        <v>100</v>
      </c>
      <c r="I36" s="1905" t="s">
        <v>3416</v>
      </c>
      <c r="J36" s="386">
        <f>SUMIF(109:109,I36,110:110)-SUMIF(109:109,C36,110:110)+100</f>
        <v>100</v>
      </c>
      <c r="K36" s="377"/>
      <c r="L36" s="2719"/>
      <c r="M36" s="2713"/>
      <c r="N36" s="2713"/>
      <c r="O36" s="2713"/>
      <c r="P36" s="3684"/>
      <c r="Q36" s="1351" t="str">
        <f t="shared" si="11"/>
        <v>公共部分装修</v>
      </c>
      <c r="R36" s="705" t="s">
        <v>18</v>
      </c>
      <c r="S36" s="706">
        <f t="shared" si="12"/>
        <v>100</v>
      </c>
      <c r="T36" s="705" t="s">
        <v>18</v>
      </c>
      <c r="U36" s="706">
        <f t="shared" si="13"/>
        <v>100</v>
      </c>
      <c r="V36" s="705" t="s">
        <v>18</v>
      </c>
      <c r="W36" s="706">
        <f t="shared" si="14"/>
        <v>100</v>
      </c>
      <c r="X36" s="1354"/>
      <c r="Y36" s="3686"/>
      <c r="Z36" s="1355" t="str">
        <f t="shared" si="18"/>
        <v>公共部分装修</v>
      </c>
      <c r="AA36" s="1352">
        <f t="shared" si="15"/>
        <v>1</v>
      </c>
      <c r="AB36" s="1352">
        <f t="shared" si="16"/>
        <v>1</v>
      </c>
      <c r="AC36" s="1352">
        <f t="shared" si="17"/>
        <v>1</v>
      </c>
    </row>
    <row r="37" spans="1:29" s="108" customFormat="1" ht="15" hidden="1">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4"/>
      <c r="M37" s="2715"/>
      <c r="N37" s="2715"/>
      <c r="O37" s="2715"/>
      <c r="P37" s="3684"/>
      <c r="Q37" s="1342" t="str">
        <f t="shared" si="11"/>
        <v>成新度</v>
      </c>
      <c r="R37" s="701" t="s">
        <v>18</v>
      </c>
      <c r="S37" s="702">
        <f t="shared" si="12"/>
        <v>100</v>
      </c>
      <c r="T37" s="701" t="s">
        <v>18</v>
      </c>
      <c r="U37" s="702">
        <f t="shared" si="13"/>
        <v>100</v>
      </c>
      <c r="V37" s="701" t="s">
        <v>18</v>
      </c>
      <c r="W37" s="702">
        <f t="shared" si="14"/>
        <v>100</v>
      </c>
      <c r="X37" s="703"/>
      <c r="Y37" s="3686"/>
      <c r="Z37" s="52" t="str">
        <f t="shared" si="18"/>
        <v>成新度</v>
      </c>
      <c r="AA37" s="704">
        <f t="shared" si="15"/>
        <v>1</v>
      </c>
      <c r="AB37" s="704">
        <f t="shared" si="16"/>
        <v>1</v>
      </c>
      <c r="AC37" s="704">
        <f t="shared" si="17"/>
        <v>1</v>
      </c>
    </row>
    <row r="38" spans="1:29" ht="15">
      <c r="A38" s="423"/>
      <c r="B38" s="375" t="s">
        <v>1702</v>
      </c>
      <c r="C38" s="1905" t="s">
        <v>3417</v>
      </c>
      <c r="D38" s="386">
        <v>100</v>
      </c>
      <c r="E38" s="1905" t="s">
        <v>3417</v>
      </c>
      <c r="F38" s="412">
        <f>SUMIF(114:114,E38,115:115)-SUMIF(114:114,C38,115:115)+100</f>
        <v>100</v>
      </c>
      <c r="G38" s="1905" t="s">
        <v>3417</v>
      </c>
      <c r="H38" s="386">
        <f>SUMIF(114:114,G38,115:115)-SUMIF(114:114,C38,115:115)+100</f>
        <v>100</v>
      </c>
      <c r="I38" s="1905" t="s">
        <v>3417</v>
      </c>
      <c r="J38" s="386">
        <f>SUMIF(114:114,I38,115:115)-SUMIF(114:114,C38,115:115)+100</f>
        <v>100</v>
      </c>
      <c r="K38" s="377"/>
      <c r="L38" s="2719"/>
      <c r="M38" s="2713"/>
      <c r="N38" s="2713"/>
      <c r="O38" s="2713"/>
      <c r="P38" s="3684" t="s">
        <v>1696</v>
      </c>
      <c r="Q38" s="1351" t="str">
        <f t="shared" si="11"/>
        <v>物业管理</v>
      </c>
      <c r="R38" s="705" t="s">
        <v>18</v>
      </c>
      <c r="S38" s="706">
        <f t="shared" si="12"/>
        <v>100</v>
      </c>
      <c r="T38" s="705" t="s">
        <v>18</v>
      </c>
      <c r="U38" s="706">
        <f t="shared" si="13"/>
        <v>100</v>
      </c>
      <c r="V38" s="705" t="s">
        <v>18</v>
      </c>
      <c r="W38" s="706">
        <f t="shared" si="14"/>
        <v>100</v>
      </c>
      <c r="X38" s="1354"/>
      <c r="Y38" s="3686" t="s">
        <v>1696</v>
      </c>
      <c r="Z38" s="1355" t="str">
        <f t="shared" si="18"/>
        <v>物业管理</v>
      </c>
      <c r="AA38" s="1352">
        <f t="shared" si="15"/>
        <v>1</v>
      </c>
      <c r="AB38" s="1352">
        <f t="shared" si="16"/>
        <v>1</v>
      </c>
      <c r="AC38" s="1352">
        <f t="shared" si="17"/>
        <v>1</v>
      </c>
    </row>
    <row r="39" spans="1:29" ht="15">
      <c r="A39" s="423"/>
      <c r="B39" s="375" t="s">
        <v>1703</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377"/>
      <c r="L39" s="2719"/>
      <c r="M39" s="2713"/>
      <c r="N39" s="2713"/>
      <c r="O39" s="2713"/>
      <c r="P39" s="3684"/>
      <c r="Q39" s="1351" t="str">
        <f t="shared" si="11"/>
        <v>市政基础设施</v>
      </c>
      <c r="R39" s="705" t="s">
        <v>18</v>
      </c>
      <c r="S39" s="706">
        <f t="shared" si="12"/>
        <v>100</v>
      </c>
      <c r="T39" s="705" t="s">
        <v>18</v>
      </c>
      <c r="U39" s="706">
        <f t="shared" si="13"/>
        <v>100</v>
      </c>
      <c r="V39" s="705" t="s">
        <v>18</v>
      </c>
      <c r="W39" s="706">
        <f t="shared" si="14"/>
        <v>100</v>
      </c>
      <c r="X39" s="1354"/>
      <c r="Y39" s="3686"/>
      <c r="Z39" s="1355" t="str">
        <f t="shared" si="18"/>
        <v>市政基础设施</v>
      </c>
      <c r="AA39" s="1352">
        <f t="shared" si="15"/>
        <v>1</v>
      </c>
      <c r="AB39" s="1352">
        <f t="shared" si="16"/>
        <v>1</v>
      </c>
      <c r="AC39" s="1352">
        <f t="shared" si="17"/>
        <v>1</v>
      </c>
    </row>
    <row r="40" spans="1:29" ht="15">
      <c r="A40" s="423"/>
      <c r="B40" s="375" t="s">
        <v>1704</v>
      </c>
      <c r="C40" s="1905" t="s">
        <v>3427</v>
      </c>
      <c r="D40" s="386">
        <v>100</v>
      </c>
      <c r="E40" s="1905" t="s">
        <v>3427</v>
      </c>
      <c r="F40" s="412">
        <f>SUMIF(118:118,E40,119:119)-SUMIF(118:118,C40,119:119)+100</f>
        <v>100</v>
      </c>
      <c r="G40" s="1905" t="s">
        <v>3427</v>
      </c>
      <c r="H40" s="386">
        <f>SUMIF(118:118,G40,119:119)-SUMIF(118:118,C40,119:119)+100</f>
        <v>100</v>
      </c>
      <c r="I40" s="1905" t="s">
        <v>3427</v>
      </c>
      <c r="J40" s="386">
        <f>SUMIF(118:118,I40,119:119)-SUMIF(118:118,C40,119:119)+100</f>
        <v>100</v>
      </c>
      <c r="K40" s="377"/>
      <c r="L40" s="2719"/>
      <c r="M40" s="2713"/>
      <c r="N40" s="2713"/>
      <c r="O40" s="2713"/>
      <c r="P40" s="3684"/>
      <c r="Q40" s="1351" t="str">
        <f t="shared" si="11"/>
        <v>房型</v>
      </c>
      <c r="R40" s="705" t="s">
        <v>18</v>
      </c>
      <c r="S40" s="706">
        <f t="shared" si="12"/>
        <v>100</v>
      </c>
      <c r="T40" s="705" t="s">
        <v>18</v>
      </c>
      <c r="U40" s="706">
        <f t="shared" si="13"/>
        <v>100</v>
      </c>
      <c r="V40" s="705" t="s">
        <v>18</v>
      </c>
      <c r="W40" s="706">
        <f t="shared" si="14"/>
        <v>100</v>
      </c>
      <c r="X40" s="1354"/>
      <c r="Y40" s="3686"/>
      <c r="Z40" s="1355" t="str">
        <f t="shared" si="18"/>
        <v>房型</v>
      </c>
      <c r="AA40" s="1352">
        <f t="shared" si="15"/>
        <v>1</v>
      </c>
      <c r="AB40" s="1352">
        <f t="shared" si="16"/>
        <v>1</v>
      </c>
      <c r="AC40" s="1352">
        <f t="shared" si="17"/>
        <v>1</v>
      </c>
    </row>
    <row r="41" spans="1:29" s="422" customFormat="1" ht="28.5">
      <c r="A41" s="419"/>
      <c r="B41" s="375" t="s">
        <v>1705</v>
      </c>
      <c r="C41" s="420">
        <f>'数据-汇总表'!E19</f>
        <v>56.8</v>
      </c>
      <c r="D41" s="127">
        <v>100</v>
      </c>
      <c r="E41" s="381">
        <f>成交案例!E4</f>
        <v>53.95</v>
      </c>
      <c r="F41" s="376">
        <v>100</v>
      </c>
      <c r="G41" s="380">
        <f>成交案例!E7</f>
        <v>36.21</v>
      </c>
      <c r="H41" s="3481">
        <v>102</v>
      </c>
      <c r="I41" s="428">
        <f>成交案例!E6</f>
        <v>47.35</v>
      </c>
      <c r="J41" s="386">
        <v>100</v>
      </c>
      <c r="K41" s="1893"/>
      <c r="L41" s="2718"/>
      <c r="M41" s="2720"/>
      <c r="N41" s="2720"/>
      <c r="O41" s="2720"/>
      <c r="P41" s="3684"/>
      <c r="Q41" s="707" t="str">
        <f t="shared" si="11"/>
        <v>单套/主力户型建筑面积</v>
      </c>
      <c r="R41" s="708" t="s">
        <v>18</v>
      </c>
      <c r="S41" s="709">
        <f t="shared" si="12"/>
        <v>100</v>
      </c>
      <c r="T41" s="708" t="s">
        <v>18</v>
      </c>
      <c r="U41" s="709">
        <f t="shared" si="13"/>
        <v>102</v>
      </c>
      <c r="V41" s="708" t="s">
        <v>18</v>
      </c>
      <c r="W41" s="709">
        <f t="shared" si="14"/>
        <v>100</v>
      </c>
      <c r="X41" s="710"/>
      <c r="Y41" s="3686"/>
      <c r="Z41" s="711" t="str">
        <f t="shared" si="18"/>
        <v>单套/主力户型建筑面积</v>
      </c>
      <c r="AA41" s="1352">
        <f t="shared" si="15"/>
        <v>1</v>
      </c>
      <c r="AB41" s="1352">
        <f t="shared" si="16"/>
        <v>0.98039215686274506</v>
      </c>
      <c r="AC41" s="1352">
        <f t="shared" si="17"/>
        <v>1</v>
      </c>
    </row>
    <row r="42" spans="1:29" ht="15">
      <c r="A42" s="423"/>
      <c r="B42" s="375" t="s">
        <v>1706</v>
      </c>
      <c r="C42" s="1905" t="s">
        <v>3414</v>
      </c>
      <c r="D42" s="386">
        <v>100</v>
      </c>
      <c r="E42" s="1905" t="s">
        <v>3414</v>
      </c>
      <c r="F42" s="412">
        <f>SUMIF(122:122,E42,123:123)-SUMIF(122:122,C42,123:123)+100</f>
        <v>100</v>
      </c>
      <c r="G42" s="1905" t="s">
        <v>3414</v>
      </c>
      <c r="H42" s="386">
        <f>SUMIF(122:122,G42,123:123)-SUMIF(122:122,C42,123:123)+100</f>
        <v>100</v>
      </c>
      <c r="I42" s="1905" t="s">
        <v>3414</v>
      </c>
      <c r="J42" s="386">
        <f>SUMIF(122:122,I42,123:123)-SUMIF(122:122,C42,123:123)+100</f>
        <v>100</v>
      </c>
      <c r="K42" s="377">
        <v>4</v>
      </c>
      <c r="L42" s="2719"/>
      <c r="M42" s="2713"/>
      <c r="N42" s="2713"/>
      <c r="O42" s="2713"/>
      <c r="P42" s="3684"/>
      <c r="Q42" s="1351" t="str">
        <f t="shared" si="11"/>
        <v>内部装修</v>
      </c>
      <c r="R42" s="705" t="s">
        <v>18</v>
      </c>
      <c r="S42" s="706">
        <f t="shared" si="12"/>
        <v>100</v>
      </c>
      <c r="T42" s="705" t="s">
        <v>18</v>
      </c>
      <c r="U42" s="706">
        <f t="shared" si="13"/>
        <v>100</v>
      </c>
      <c r="V42" s="705" t="s">
        <v>18</v>
      </c>
      <c r="W42" s="706">
        <f t="shared" si="14"/>
        <v>100</v>
      </c>
      <c r="X42" s="1354"/>
      <c r="Y42" s="3686"/>
      <c r="Z42" s="1355" t="str">
        <f t="shared" si="18"/>
        <v>内部装修</v>
      </c>
      <c r="AA42" s="1352">
        <f t="shared" si="15"/>
        <v>1</v>
      </c>
      <c r="AB42" s="1352">
        <f t="shared" si="16"/>
        <v>1</v>
      </c>
      <c r="AC42" s="1352">
        <f t="shared" si="17"/>
        <v>1</v>
      </c>
    </row>
    <row r="43" spans="1:29" ht="15">
      <c r="A43" s="423"/>
      <c r="B43" s="375" t="s">
        <v>1707</v>
      </c>
      <c r="C43" s="1905" t="s">
        <v>3439</v>
      </c>
      <c r="D43" s="386">
        <v>100</v>
      </c>
      <c r="E43" s="1905" t="s">
        <v>3439</v>
      </c>
      <c r="F43" s="412">
        <f>SUMIF(124:124,E43,125:125)-SUMIF(124:124,C43,125:125)+100</f>
        <v>100</v>
      </c>
      <c r="G43" s="1905" t="s">
        <v>3439</v>
      </c>
      <c r="H43" s="386">
        <f>SUMIF(124:124,G43,125:125)-SUMIF(124:124,C43,125:125)+100</f>
        <v>100</v>
      </c>
      <c r="I43" s="1905" t="s">
        <v>3439</v>
      </c>
      <c r="J43" s="386">
        <f>SUMIF(124:124,I43,125:125)-SUMIF(124:124,C43,125:125)+100</f>
        <v>100</v>
      </c>
      <c r="K43" s="377"/>
      <c r="L43" s="2719"/>
      <c r="M43" s="2713"/>
      <c r="N43" s="2713"/>
      <c r="O43" s="2713"/>
      <c r="P43" s="3684"/>
      <c r="Q43" s="1351" t="str">
        <f t="shared" si="11"/>
        <v>内部装修维护情况</v>
      </c>
      <c r="R43" s="705" t="s">
        <v>18</v>
      </c>
      <c r="S43" s="706">
        <f t="shared" si="12"/>
        <v>100</v>
      </c>
      <c r="T43" s="705" t="s">
        <v>18</v>
      </c>
      <c r="U43" s="706">
        <f t="shared" si="13"/>
        <v>100</v>
      </c>
      <c r="V43" s="705" t="s">
        <v>18</v>
      </c>
      <c r="W43" s="706">
        <f t="shared" si="14"/>
        <v>100</v>
      </c>
      <c r="X43" s="1354"/>
      <c r="Y43" s="3686"/>
      <c r="Z43" s="1355" t="str">
        <f t="shared" si="18"/>
        <v>内部装修维护情况</v>
      </c>
      <c r="AA43" s="1352">
        <f t="shared" si="15"/>
        <v>1</v>
      </c>
      <c r="AB43" s="1352">
        <f t="shared" si="16"/>
        <v>1</v>
      </c>
      <c r="AC43" s="1352">
        <f t="shared" si="17"/>
        <v>1</v>
      </c>
    </row>
    <row r="44" spans="1:29" s="108" customFormat="1" ht="15">
      <c r="A44" s="424"/>
      <c r="B44" s="3454" t="s">
        <v>3428</v>
      </c>
      <c r="C44" s="420">
        <v>1984</v>
      </c>
      <c r="D44" s="127">
        <v>100</v>
      </c>
      <c r="E44" s="420">
        <f>成交案例!L4</f>
        <v>1984</v>
      </c>
      <c r="F44" s="376">
        <f>SUMIF(126:126,E44,127:127)-SUMIF(126:126,C44,127:127)+100</f>
        <v>100</v>
      </c>
      <c r="G44" s="420">
        <v>1984</v>
      </c>
      <c r="H44" s="127">
        <f>SUMIF(126:126,G44,127:127)-SUMIF(126:126,C44,127:127)+100</f>
        <v>100</v>
      </c>
      <c r="I44" s="420">
        <f>成交案例!L6</f>
        <v>1984</v>
      </c>
      <c r="J44" s="127">
        <f>SUMIF(126:126,I44,127:127)-SUMIF(126:126,C44,127:127)+100</f>
        <v>100</v>
      </c>
      <c r="K44" s="1893"/>
      <c r="L44" s="2714"/>
      <c r="M44" s="2715"/>
      <c r="N44" s="2715"/>
      <c r="O44" s="2715"/>
      <c r="P44" s="3684"/>
      <c r="Q44" s="1342" t="str">
        <f t="shared" si="11"/>
        <v>建成年代</v>
      </c>
      <c r="R44" s="701" t="s">
        <v>18</v>
      </c>
      <c r="S44" s="702">
        <f t="shared" si="12"/>
        <v>100</v>
      </c>
      <c r="T44" s="701" t="s">
        <v>18</v>
      </c>
      <c r="U44" s="702">
        <f t="shared" si="13"/>
        <v>100</v>
      </c>
      <c r="V44" s="701" t="s">
        <v>18</v>
      </c>
      <c r="W44" s="702">
        <f t="shared" si="14"/>
        <v>100</v>
      </c>
      <c r="X44" s="703"/>
      <c r="Y44" s="3686"/>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684"/>
      <c r="Q45" s="1351">
        <f t="shared" si="11"/>
        <v>111</v>
      </c>
      <c r="R45" s="705" t="s">
        <v>18</v>
      </c>
      <c r="S45" s="706">
        <f t="shared" si="12"/>
        <v>100</v>
      </c>
      <c r="T45" s="705" t="s">
        <v>18</v>
      </c>
      <c r="U45" s="706">
        <f t="shared" si="13"/>
        <v>100</v>
      </c>
      <c r="V45" s="705" t="s">
        <v>18</v>
      </c>
      <c r="W45" s="706">
        <f t="shared" si="14"/>
        <v>100</v>
      </c>
      <c r="X45" s="1354"/>
      <c r="Y45" s="368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685"/>
      <c r="Q46" s="1351">
        <f t="shared" si="11"/>
        <v>111</v>
      </c>
      <c r="R46" s="705" t="s">
        <v>17</v>
      </c>
      <c r="S46" s="706">
        <f t="shared" si="12"/>
        <v>100</v>
      </c>
      <c r="T46" s="705" t="s">
        <v>17</v>
      </c>
      <c r="U46" s="706">
        <f t="shared" si="13"/>
        <v>100</v>
      </c>
      <c r="V46" s="705" t="s">
        <v>17</v>
      </c>
      <c r="W46" s="706">
        <f t="shared" si="14"/>
        <v>100</v>
      </c>
      <c r="X46" s="1354"/>
      <c r="Y46" s="3687"/>
      <c r="Z46" s="1355">
        <f t="shared" si="18"/>
        <v>111</v>
      </c>
      <c r="AA46" s="1352">
        <f t="shared" si="15"/>
        <v>1</v>
      </c>
      <c r="AB46" s="1352">
        <f t="shared" si="16"/>
        <v>1</v>
      </c>
      <c r="AC46" s="1352">
        <f t="shared" si="17"/>
        <v>1</v>
      </c>
    </row>
    <row r="47" spans="1:29" ht="15">
      <c r="A47" s="430" t="s">
        <v>1708</v>
      </c>
      <c r="B47" s="431"/>
      <c r="C47" s="1154" t="s">
        <v>16</v>
      </c>
      <c r="D47" s="1155"/>
      <c r="E47" s="1156">
        <f>成交案例!M4</f>
        <v>113994</v>
      </c>
      <c r="F47" s="1157"/>
      <c r="G47" s="1158">
        <f>成交案例!M7</f>
        <v>124275</v>
      </c>
      <c r="H47" s="1159"/>
      <c r="I47" s="1156">
        <f>成交案例!M6</f>
        <v>116579</v>
      </c>
      <c r="J47" s="1159"/>
      <c r="K47" s="1911"/>
      <c r="L47" s="2721"/>
      <c r="M47" s="2722"/>
      <c r="N47" s="2713"/>
      <c r="O47" s="2722"/>
      <c r="P47" s="3679" t="str">
        <f>A47</f>
        <v>成交单价（元/平方米）</v>
      </c>
      <c r="Q47" s="3679"/>
      <c r="R47" s="3680">
        <f>E47</f>
        <v>113994</v>
      </c>
      <c r="S47" s="3680"/>
      <c r="T47" s="3680">
        <f>G47</f>
        <v>124275</v>
      </c>
      <c r="U47" s="3680"/>
      <c r="V47" s="3680">
        <f>I47</f>
        <v>116579</v>
      </c>
      <c r="W47" s="3680"/>
      <c r="X47" s="690"/>
      <c r="Y47" s="712"/>
      <c r="Z47" s="690"/>
      <c r="AA47" s="690"/>
      <c r="AB47" s="690"/>
      <c r="AC47" s="690"/>
    </row>
    <row r="48" spans="1:29" ht="15.75" thickBot="1">
      <c r="A48" s="437" t="s">
        <v>1709</v>
      </c>
      <c r="B48" s="438"/>
      <c r="C48" s="1160">
        <f>R49</f>
        <v>126208</v>
      </c>
      <c r="D48" s="2314" t="s">
        <v>2138</v>
      </c>
      <c r="E48" s="1161">
        <f>R48</f>
        <v>122520</v>
      </c>
      <c r="F48" s="2315"/>
      <c r="G48" s="1160">
        <f>T48</f>
        <v>126915</v>
      </c>
      <c r="H48" s="2315"/>
      <c r="I48" s="1161">
        <f>V48</f>
        <v>129188</v>
      </c>
      <c r="J48" s="2315"/>
      <c r="K48" s="2316">
        <f>F48+H48+J48</f>
        <v>0</v>
      </c>
      <c r="L48" s="2721"/>
      <c r="M48" s="2722"/>
      <c r="N48" s="2722"/>
      <c r="O48" s="2722"/>
      <c r="P48" s="3679" t="str">
        <f>A48</f>
        <v>比较价值（元/平方米）</v>
      </c>
      <c r="Q48" s="3679"/>
      <c r="R48" s="3680">
        <f>IF(F1="售价",ROUND(PRODUCT(R47,AA7:AA46),0),ROUND(PRODUCT(R47,AA7:AA46),1))</f>
        <v>122520</v>
      </c>
      <c r="S48" s="3680"/>
      <c r="T48" s="3680">
        <f>IF(F1="售价",ROUND(PRODUCT(T47,AB7:AB46),0),ROUND(PRODUCT(T47,AB7:AB46),1))</f>
        <v>126915</v>
      </c>
      <c r="U48" s="3680"/>
      <c r="V48" s="3680">
        <f>IF(F1="售价",ROUND(PRODUCT(V47,AC7:AC46),0),ROUND(PRODUCT(V47,AC7:AC46),1))</f>
        <v>129188</v>
      </c>
      <c r="W48" s="3680"/>
      <c r="X48" s="690"/>
      <c r="Y48" s="690"/>
      <c r="Z48" s="690"/>
      <c r="AA48" s="690"/>
      <c r="AB48" s="690"/>
      <c r="AC48" s="690"/>
    </row>
    <row r="49" spans="1:29" ht="15.75" thickBot="1">
      <c r="A49" s="441" t="s">
        <v>1710</v>
      </c>
      <c r="B49" s="442"/>
      <c r="C49" s="1162">
        <f>R49</f>
        <v>126208</v>
      </c>
      <c r="D49" s="1163"/>
      <c r="E49" s="1163"/>
      <c r="F49" s="1163"/>
      <c r="G49" s="1163"/>
      <c r="H49" s="1163"/>
      <c r="I49" s="1163"/>
      <c r="J49" s="1163"/>
      <c r="K49" s="1912"/>
      <c r="L49" s="2721"/>
      <c r="M49" s="2722"/>
      <c r="N49" s="2722"/>
      <c r="O49" s="2722"/>
      <c r="P49" s="3676" t="str">
        <f>A49</f>
        <v>估价对象XX用房的比较价值（楼面单价，元/平方米）</v>
      </c>
      <c r="Q49" s="3677"/>
      <c r="R49" s="3678">
        <f>IF(F1="售价",ROUND(IF(D48="简单平均",AVERAGE(R48:V48),R48*F48+T48*H48+V48*J48),0),ROUND(IF(D48="简单平均",AVERAGE(R48:V48),R48*F48+T48*H48+V48*J48),1))</f>
        <v>126208</v>
      </c>
      <c r="S49" s="3678"/>
      <c r="T49" s="3678"/>
      <c r="U49" s="3678"/>
      <c r="V49" s="3678"/>
      <c r="W49" s="367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7.4793410179483155E-2</v>
      </c>
      <c r="F52" s="449" t="str">
        <f>IF(OR(E52&gt;=0.3,E52&lt;=-0.3),"超过30%","")</f>
        <v/>
      </c>
      <c r="G52" s="448">
        <f>IF(G47&lt;G48,G48/G47-1,G47/G48-1)</f>
        <v>2.1243210621605391E-2</v>
      </c>
      <c r="H52" s="449" t="str">
        <f>IF(OR(G52&gt;=0.3,G52&lt;=-0.3),"超过30%","")</f>
        <v/>
      </c>
      <c r="I52" s="448">
        <f>IF(I47&lt;I48,I48/I47-1,I47/I48-1)</f>
        <v>0.10815841618130184</v>
      </c>
      <c r="J52" s="449" t="str">
        <f>IF(OR(I52&gt;=0.3,I52&lt;=-0.3),"超过30%","")</f>
        <v/>
      </c>
      <c r="K52" s="2727"/>
      <c r="L52" s="2723"/>
      <c r="M52" s="2722"/>
      <c r="N52" s="2722"/>
      <c r="O52" s="2722"/>
    </row>
    <row r="53" spans="1:29" ht="13.5" customHeight="1">
      <c r="A53" s="2722"/>
      <c r="B53" s="2722"/>
      <c r="C53" s="446" t="s">
        <v>1712</v>
      </c>
      <c r="D53" s="450"/>
      <c r="E53" s="448">
        <f>IF(E48&lt;G48,G48/E48-1,E48/G48-1)</f>
        <v>3.587169441723792E-2</v>
      </c>
      <c r="F53" s="449" t="str">
        <f>IF(OR(E53&gt;=0.2,E53&lt;=-0.2),"超过20%","")</f>
        <v/>
      </c>
      <c r="G53" s="448">
        <f>IF(G48&lt;I48,I48/G48-1,G48/I48-1)</f>
        <v>1.7909624551865511E-2</v>
      </c>
      <c r="H53" s="449" t="str">
        <f>IF(OR(G53&gt;=0.2,G53&lt;=-0.2),"超过20%","")</f>
        <v/>
      </c>
      <c r="I53" s="448">
        <f>IF(I48&lt;E48,E48/I48-1,I48/E48-1)</f>
        <v>5.4423767548155366E-2</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9.0188957313542817E-2</v>
      </c>
      <c r="F54" s="449" t="str">
        <f>IF(OR(E54&gt;=0.3,E54&lt;=-0.3),"超过30%","")</f>
        <v/>
      </c>
      <c r="G54" s="448">
        <f>IF(G47&lt;I47,I47/G47-1,G47/I47-1)</f>
        <v>6.6015320083376849E-2</v>
      </c>
      <c r="H54" s="449" t="str">
        <f>IF(OR(G54&gt;=0.3,G54&lt;=-0.3),"超过30%","")</f>
        <v/>
      </c>
      <c r="I54" s="448">
        <f>IF(I47&lt;E47,E47/I47-1,I47/E47-1)</f>
        <v>2.267663210344395E-2</v>
      </c>
      <c r="J54" s="449" t="str">
        <f>IF(OR(I54&gt;=0.3,I54&lt;=-0.3),"超过30%","")</f>
        <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3449">
        <v>44593</v>
      </c>
      <c r="Q58" s="3449">
        <v>44562</v>
      </c>
      <c r="R58" s="3449">
        <v>44531</v>
      </c>
    </row>
    <row r="59" spans="1:29" s="108" customFormat="1" ht="15">
      <c r="A59" s="458"/>
      <c r="B59" s="1916"/>
      <c r="C59" s="1182">
        <v>100</v>
      </c>
      <c r="D59" s="3447">
        <v>100</v>
      </c>
      <c r="E59" s="3447">
        <v>100</v>
      </c>
      <c r="F59" s="3447">
        <v>100</v>
      </c>
      <c r="G59" s="3447">
        <v>98</v>
      </c>
      <c r="H59" s="3447">
        <v>98</v>
      </c>
      <c r="I59" s="3447">
        <v>98</v>
      </c>
      <c r="J59" s="3447">
        <v>96</v>
      </c>
      <c r="K59" s="3447">
        <v>96</v>
      </c>
      <c r="L59" s="3447">
        <v>96</v>
      </c>
      <c r="M59" s="3448">
        <v>94</v>
      </c>
      <c r="N59" s="3447">
        <v>94</v>
      </c>
      <c r="O59" s="3448">
        <v>94</v>
      </c>
      <c r="P59" s="3448">
        <v>92</v>
      </c>
      <c r="Q59" s="3448">
        <v>98</v>
      </c>
      <c r="R59" s="3448"/>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t="str">
        <f>C9</f>
        <v>住宅</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3465" t="s">
        <v>3431</v>
      </c>
      <c r="D65" s="3465" t="s">
        <v>3432</v>
      </c>
      <c r="E65" s="3465" t="s">
        <v>3433</v>
      </c>
      <c r="F65" s="3465" t="s">
        <v>3434</v>
      </c>
      <c r="G65" s="3465" t="s">
        <v>3435</v>
      </c>
      <c r="H65" s="3465" t="s">
        <v>3436</v>
      </c>
      <c r="I65" s="3465" t="s">
        <v>3437</v>
      </c>
      <c r="J65" s="532"/>
      <c r="K65" s="532"/>
      <c r="L65" s="532"/>
      <c r="M65" s="532"/>
      <c r="N65" s="934"/>
      <c r="O65" s="934"/>
      <c r="P65" s="1919"/>
      <c r="Q65" s="453"/>
    </row>
    <row r="66" spans="1:17" ht="15.75" thickBot="1">
      <c r="A66" s="483"/>
      <c r="B66" s="492"/>
      <c r="C66" s="3466">
        <v>100</v>
      </c>
      <c r="D66" s="3466">
        <f t="shared" ref="D66:I66" si="20">C66-$K10</f>
        <v>100</v>
      </c>
      <c r="E66" s="3466">
        <f t="shared" si="20"/>
        <v>100</v>
      </c>
      <c r="F66" s="3466">
        <f t="shared" si="20"/>
        <v>100</v>
      </c>
      <c r="G66" s="3466">
        <f t="shared" si="20"/>
        <v>100</v>
      </c>
      <c r="H66" s="3466">
        <f t="shared" si="20"/>
        <v>100</v>
      </c>
      <c r="I66" s="3466">
        <f t="shared" si="20"/>
        <v>100</v>
      </c>
      <c r="J66" s="485"/>
      <c r="K66" s="485"/>
      <c r="L66" s="485"/>
      <c r="M66" s="486"/>
      <c r="N66" s="934"/>
      <c r="O66" s="934"/>
      <c r="P66" s="1919"/>
      <c r="Q66" s="453"/>
    </row>
    <row r="67" spans="1:17" ht="15.75" thickTop="1">
      <c r="A67" s="483"/>
      <c r="B67" s="495" t="s">
        <v>1689</v>
      </c>
      <c r="C67" s="496" t="str">
        <f>C68&amp;"（含）"&amp;"-"&amp;D68</f>
        <v>0（含）-1</v>
      </c>
      <c r="D67" s="496" t="str">
        <f t="shared" ref="D67:L67" si="21">D68&amp;"（含）"&amp;"-"&amp;E68</f>
        <v>1（含）-2</v>
      </c>
      <c r="E67" s="496" t="str">
        <f t="shared" si="21"/>
        <v>2（含）-3</v>
      </c>
      <c r="F67" s="496" t="str">
        <f t="shared" si="21"/>
        <v>3（含）-4</v>
      </c>
      <c r="G67" s="496" t="str">
        <f t="shared" si="21"/>
        <v>4（含）-5</v>
      </c>
      <c r="H67" s="496" t="str">
        <f t="shared" si="21"/>
        <v>5（含）-</v>
      </c>
      <c r="I67" s="496" t="str">
        <f t="shared" si="21"/>
        <v>（含）-</v>
      </c>
      <c r="J67" s="496" t="str">
        <f t="shared" si="21"/>
        <v>（含）-</v>
      </c>
      <c r="K67" s="496" t="str">
        <f>K68&amp;"（含）"&amp;"-"&amp;L68</f>
        <v>（含）-</v>
      </c>
      <c r="L67" s="496" t="str">
        <f t="shared" si="21"/>
        <v>（含）-</v>
      </c>
      <c r="M67" s="399" t="str">
        <f>M68&amp;"（含）"&amp;"-"&amp;P68</f>
        <v>（含）-</v>
      </c>
      <c r="N67" s="934"/>
      <c r="O67" s="934"/>
      <c r="P67" s="1919"/>
      <c r="Q67" s="453"/>
    </row>
    <row r="68" spans="1:17" ht="15">
      <c r="A68" s="483"/>
      <c r="B68" s="497"/>
      <c r="C68" s="498">
        <v>0</v>
      </c>
      <c r="D68" s="498">
        <v>1</v>
      </c>
      <c r="E68" s="498">
        <v>2</v>
      </c>
      <c r="F68" s="498">
        <v>3</v>
      </c>
      <c r="G68" s="498">
        <v>4</v>
      </c>
      <c r="H68" s="498">
        <v>5</v>
      </c>
      <c r="I68" s="498"/>
      <c r="J68" s="498"/>
      <c r="K68" s="499"/>
      <c r="L68" s="500"/>
      <c r="M68" s="501"/>
      <c r="N68" s="933"/>
      <c r="O68" s="933"/>
      <c r="P68" s="1919"/>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100</v>
      </c>
      <c r="E83" s="608">
        <f t="shared" ref="E83:G83" si="23">D83-$K21</f>
        <v>100</v>
      </c>
      <c r="F83" s="608">
        <f t="shared" si="23"/>
        <v>100</v>
      </c>
      <c r="G83" s="608">
        <f t="shared" si="23"/>
        <v>100</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19"/>
      <c r="Q87" s="453"/>
    </row>
    <row r="88" spans="1:17" s="108" customFormat="1" ht="15.75" thickTop="1">
      <c r="A88" s="528"/>
      <c r="B88" s="487" t="s">
        <v>1735</v>
      </c>
      <c r="C88" s="3476" t="s">
        <v>3460</v>
      </c>
      <c r="D88" s="3461" t="s">
        <v>3463</v>
      </c>
      <c r="E88" s="3461" t="s">
        <v>3465</v>
      </c>
      <c r="F88" s="3461" t="s">
        <v>3466</v>
      </c>
      <c r="G88" s="3461" t="s">
        <v>3462</v>
      </c>
      <c r="H88" s="3461" t="s">
        <v>3467</v>
      </c>
      <c r="I88" s="3477" t="s">
        <v>3468</v>
      </c>
      <c r="J88" s="3477" t="s">
        <v>3469</v>
      </c>
      <c r="K88" s="3461" t="s">
        <v>3464</v>
      </c>
      <c r="L88" s="3461" t="s">
        <v>3470</v>
      </c>
      <c r="M88" s="3451"/>
      <c r="N88" s="3451"/>
      <c r="O88" s="3452"/>
      <c r="P88" s="1919"/>
      <c r="Q88" s="453"/>
    </row>
    <row r="89" spans="1:17" s="108" customFormat="1" ht="15.75" thickBot="1">
      <c r="A89" s="528"/>
      <c r="B89" s="492"/>
      <c r="C89" s="531">
        <v>100</v>
      </c>
      <c r="D89" s="493">
        <f t="shared" ref="D89:M89" si="25">C89-$K26</f>
        <v>99</v>
      </c>
      <c r="E89" s="493">
        <f t="shared" si="25"/>
        <v>98</v>
      </c>
      <c r="F89" s="493">
        <f t="shared" si="25"/>
        <v>97</v>
      </c>
      <c r="G89" s="493">
        <f t="shared" si="25"/>
        <v>96</v>
      </c>
      <c r="H89" s="493">
        <f t="shared" si="25"/>
        <v>95</v>
      </c>
      <c r="I89" s="493">
        <f t="shared" si="25"/>
        <v>94</v>
      </c>
      <c r="J89" s="493">
        <f t="shared" si="25"/>
        <v>93</v>
      </c>
      <c r="K89" s="493">
        <f t="shared" si="25"/>
        <v>92</v>
      </c>
      <c r="L89" s="493">
        <f t="shared" si="25"/>
        <v>91</v>
      </c>
      <c r="M89" s="493">
        <f t="shared" si="25"/>
        <v>90</v>
      </c>
      <c r="N89" s="934"/>
      <c r="O89" s="934"/>
      <c r="P89" s="1919"/>
      <c r="Q89" s="453"/>
    </row>
    <row r="90" spans="1:17" s="422" customFormat="1" ht="15.75" thickTop="1">
      <c r="A90" s="502"/>
      <c r="B90" s="487" t="str">
        <f>B27</f>
        <v>道路级别</v>
      </c>
      <c r="C90" s="3450" t="s">
        <v>3397</v>
      </c>
      <c r="D90" s="3450" t="s">
        <v>3398</v>
      </c>
      <c r="E90" s="3450" t="s">
        <v>3399</v>
      </c>
      <c r="F90" s="3450" t="s">
        <v>3400</v>
      </c>
      <c r="G90" s="3450" t="s">
        <v>3401</v>
      </c>
      <c r="H90" s="504"/>
      <c r="I90" s="504"/>
      <c r="J90" s="504"/>
      <c r="K90" s="504"/>
      <c r="L90" s="505"/>
      <c r="M90" s="506"/>
      <c r="N90" s="935"/>
      <c r="O90" s="935"/>
      <c r="P90" s="1920"/>
      <c r="Q90" s="508"/>
    </row>
    <row r="91" spans="1:17" s="422" customFormat="1" ht="15.75" thickBot="1">
      <c r="A91" s="502"/>
      <c r="B91" s="492"/>
      <c r="C91" s="3453">
        <v>100</v>
      </c>
      <c r="D91" s="3453">
        <v>98</v>
      </c>
      <c r="E91" s="3453">
        <v>96</v>
      </c>
      <c r="F91" s="3453">
        <v>94</v>
      </c>
      <c r="G91" s="3453">
        <v>92</v>
      </c>
      <c r="H91" s="511"/>
      <c r="I91" s="511"/>
      <c r="J91" s="511"/>
      <c r="K91" s="511"/>
      <c r="L91" s="511"/>
      <c r="M91" s="512"/>
      <c r="N91" s="935"/>
      <c r="O91" s="935"/>
      <c r="P91" s="1920"/>
      <c r="Q91" s="508"/>
    </row>
    <row r="92" spans="1:17" ht="15.75" thickTop="1">
      <c r="A92" s="483"/>
      <c r="B92" s="487" t="str">
        <f>B28</f>
        <v>楼层</v>
      </c>
      <c r="C92" s="3468" t="str">
        <f>C28</f>
        <v>4/6（中楼层）</v>
      </c>
      <c r="D92" s="3469" t="s">
        <v>3440</v>
      </c>
      <c r="E92" s="3469" t="str">
        <f>I28</f>
        <v>1/6（底层）</v>
      </c>
      <c r="F92" s="3479" t="s">
        <v>3493</v>
      </c>
      <c r="G92" s="532"/>
      <c r="H92" s="532"/>
      <c r="I92" s="532"/>
      <c r="J92" s="532"/>
      <c r="K92" s="533"/>
      <c r="L92" s="534"/>
      <c r="M92" s="535"/>
      <c r="N92" s="933"/>
      <c r="O92" s="933"/>
      <c r="P92" s="1919"/>
      <c r="Q92" s="453"/>
    </row>
    <row r="93" spans="1:17" ht="15.75" thickBot="1">
      <c r="A93" s="483"/>
      <c r="B93" s="492"/>
      <c r="C93" s="3453">
        <v>100</v>
      </c>
      <c r="D93" s="3459">
        <v>101</v>
      </c>
      <c r="E93" s="3459">
        <v>94</v>
      </c>
      <c r="F93" s="3459">
        <v>96</v>
      </c>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55" t="s">
        <v>3403</v>
      </c>
      <c r="D100" s="3456" t="s">
        <v>3404</v>
      </c>
      <c r="E100" s="3457" t="s">
        <v>3405</v>
      </c>
      <c r="F100" s="3458" t="s">
        <v>3406</v>
      </c>
      <c r="G100" s="3458" t="s">
        <v>3407</v>
      </c>
      <c r="H100" s="479"/>
      <c r="I100" s="479"/>
      <c r="J100" s="479"/>
      <c r="K100" s="480"/>
      <c r="L100" s="481"/>
      <c r="M100" s="482"/>
      <c r="N100" s="933"/>
      <c r="O100" s="933"/>
      <c r="P100" s="1919"/>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934"/>
      <c r="O101" s="934"/>
      <c r="P101" s="1919"/>
      <c r="Q101" s="453"/>
    </row>
    <row r="102" spans="1:17" ht="15.75" thickTop="1">
      <c r="A102" s="483"/>
      <c r="B102" s="487" t="s">
        <v>1737</v>
      </c>
      <c r="C102" s="527" t="str">
        <f>C103&amp;"(含)"&amp;"-"&amp;D103</f>
        <v>0(含)-40</v>
      </c>
      <c r="D102" s="527" t="str">
        <f t="shared" ref="D102:L102" si="27">D103&amp;"(含)"&amp;"-"&amp;E103</f>
        <v>40(含)-80</v>
      </c>
      <c r="E102" s="527" t="str">
        <f t="shared" si="27"/>
        <v>80(含)-120</v>
      </c>
      <c r="F102" s="527" t="str">
        <f t="shared" si="27"/>
        <v>120(含)-160</v>
      </c>
      <c r="G102" s="527" t="str">
        <f t="shared" si="27"/>
        <v>160(含)-200</v>
      </c>
      <c r="H102" s="527" t="str">
        <f t="shared" si="27"/>
        <v>200(含)-240</v>
      </c>
      <c r="I102" s="527" t="str">
        <f t="shared" si="27"/>
        <v>240(含)-</v>
      </c>
      <c r="J102" s="527" t="str">
        <f t="shared" si="27"/>
        <v>(含)-</v>
      </c>
      <c r="K102" s="527" t="str">
        <f>K103&amp;"(含)"&amp;"-"&amp;L103</f>
        <v>(含)-</v>
      </c>
      <c r="L102" s="527" t="str">
        <f t="shared" si="27"/>
        <v>(含)-</v>
      </c>
      <c r="M102" s="527" t="str">
        <f>M103&amp;"(含)"&amp;"-"&amp;P103</f>
        <v>(含)-</v>
      </c>
      <c r="N102" s="932"/>
      <c r="O102" s="932"/>
      <c r="P102" s="1919"/>
      <c r="Q102" s="453"/>
    </row>
    <row r="103" spans="1:17" s="422" customFormat="1">
      <c r="A103" s="542"/>
      <c r="B103" s="543"/>
      <c r="C103" s="6">
        <v>0</v>
      </c>
      <c r="D103" s="6">
        <v>40</v>
      </c>
      <c r="E103" s="6">
        <v>80</v>
      </c>
      <c r="F103" s="6">
        <v>120</v>
      </c>
      <c r="G103" s="6">
        <v>160</v>
      </c>
      <c r="H103" s="6">
        <v>200</v>
      </c>
      <c r="I103" s="6">
        <v>240</v>
      </c>
      <c r="J103" s="545"/>
      <c r="K103" s="545"/>
      <c r="L103" s="546"/>
      <c r="M103" s="547"/>
      <c r="N103" s="935"/>
      <c r="O103" s="935"/>
      <c r="P103" s="1920"/>
      <c r="Q103" s="508"/>
    </row>
    <row r="104" spans="1:17" s="422" customFormat="1" ht="15.75" thickBot="1">
      <c r="A104" s="502"/>
      <c r="B104" s="492"/>
      <c r="C104" s="3453">
        <v>100</v>
      </c>
      <c r="D104" s="3459">
        <v>95</v>
      </c>
      <c r="E104" s="3459">
        <v>90</v>
      </c>
      <c r="F104" s="3459">
        <v>88</v>
      </c>
      <c r="G104" s="3459">
        <v>84</v>
      </c>
      <c r="H104" s="3459">
        <v>80</v>
      </c>
      <c r="I104" s="3459">
        <v>76</v>
      </c>
      <c r="J104" s="485"/>
      <c r="K104" s="485"/>
      <c r="L104" s="485"/>
      <c r="M104" s="485"/>
      <c r="N104" s="934"/>
      <c r="O104" s="934"/>
      <c r="P104" s="1920"/>
      <c r="Q104" s="508"/>
    </row>
    <row r="105" spans="1:17" ht="15" thickTop="1">
      <c r="A105" s="548"/>
      <c r="B105" s="487" t="s">
        <v>1738</v>
      </c>
      <c r="C105" s="3450" t="s">
        <v>3408</v>
      </c>
      <c r="D105" s="3450" t="s">
        <v>3391</v>
      </c>
      <c r="E105" s="3460" t="s">
        <v>3409</v>
      </c>
      <c r="F105" s="3460" t="s">
        <v>3410</v>
      </c>
      <c r="G105" s="3461" t="s">
        <v>3411</v>
      </c>
      <c r="H105" s="3462"/>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1739</v>
      </c>
      <c r="C107" s="3463" t="s">
        <v>3412</v>
      </c>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1740</v>
      </c>
      <c r="C109" s="3450" t="s">
        <v>3413</v>
      </c>
      <c r="D109" s="3450" t="s">
        <v>3414</v>
      </c>
      <c r="E109" s="3450" t="s">
        <v>3415</v>
      </c>
      <c r="F109" s="3460" t="s">
        <v>3416</v>
      </c>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3450" t="s">
        <v>3417</v>
      </c>
      <c r="D114" s="3450" t="s">
        <v>3418</v>
      </c>
      <c r="E114" s="3461" t="s">
        <v>3419</v>
      </c>
      <c r="F114" s="3461" t="s">
        <v>3420</v>
      </c>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1742</v>
      </c>
      <c r="C116" s="3450" t="s">
        <v>3421</v>
      </c>
      <c r="D116" s="3450" t="s">
        <v>3422</v>
      </c>
      <c r="E116" s="3450" t="s">
        <v>3423</v>
      </c>
      <c r="F116" s="3450" t="s">
        <v>3424</v>
      </c>
      <c r="G116" s="3450" t="s">
        <v>3425</v>
      </c>
      <c r="H116" s="346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3463" t="s">
        <v>3426</v>
      </c>
      <c r="D118" s="3463" t="s">
        <v>3427</v>
      </c>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1705</v>
      </c>
      <c r="C120" s="3468">
        <v>0</v>
      </c>
      <c r="D120" s="3468">
        <v>20</v>
      </c>
      <c r="E120" s="3468">
        <v>40</v>
      </c>
      <c r="F120" s="3468">
        <v>60</v>
      </c>
      <c r="G120" s="3468">
        <v>80</v>
      </c>
      <c r="H120" s="3468">
        <v>100</v>
      </c>
      <c r="I120" s="503">
        <v>120</v>
      </c>
      <c r="J120" s="503">
        <v>140</v>
      </c>
      <c r="K120" s="503"/>
      <c r="L120" s="503"/>
      <c r="M120" s="530"/>
      <c r="N120" s="935"/>
      <c r="O120" s="935"/>
      <c r="P120" s="1920"/>
      <c r="Q120" s="508"/>
    </row>
    <row r="121" spans="1:17" s="422" customFormat="1" ht="15.75" thickBot="1">
      <c r="A121" s="502"/>
      <c r="B121" s="484"/>
      <c r="C121" s="3453">
        <v>100</v>
      </c>
      <c r="D121" s="3459">
        <v>98</v>
      </c>
      <c r="E121" s="3459">
        <v>96</v>
      </c>
      <c r="F121" s="3459">
        <v>94</v>
      </c>
      <c r="G121" s="3459">
        <v>92</v>
      </c>
      <c r="H121" s="3459">
        <v>90</v>
      </c>
      <c r="I121" s="485">
        <v>88</v>
      </c>
      <c r="J121" s="485">
        <v>86</v>
      </c>
      <c r="K121" s="485"/>
      <c r="L121" s="485"/>
      <c r="M121" s="485"/>
      <c r="N121" s="935"/>
      <c r="O121" s="935"/>
      <c r="P121" s="1920"/>
      <c r="Q121" s="508"/>
    </row>
    <row r="122" spans="1:17" ht="15" thickTop="1">
      <c r="A122" s="548"/>
      <c r="B122" s="487" t="s">
        <v>1744</v>
      </c>
      <c r="C122" s="3450" t="s">
        <v>3413</v>
      </c>
      <c r="D122" s="3450" t="s">
        <v>3414</v>
      </c>
      <c r="E122" s="3450" t="s">
        <v>3415</v>
      </c>
      <c r="F122" s="3460" t="s">
        <v>3416</v>
      </c>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96</v>
      </c>
      <c r="E123" s="493">
        <f t="shared" si="33"/>
        <v>92</v>
      </c>
      <c r="F123" s="493">
        <f t="shared" si="33"/>
        <v>88</v>
      </c>
      <c r="G123" s="493">
        <f t="shared" si="33"/>
        <v>84</v>
      </c>
      <c r="H123" s="493">
        <f t="shared" si="33"/>
        <v>80</v>
      </c>
      <c r="I123" s="493">
        <f t="shared" si="33"/>
        <v>76</v>
      </c>
      <c r="J123" s="493">
        <f t="shared" si="33"/>
        <v>72</v>
      </c>
      <c r="K123" s="493">
        <f t="shared" si="33"/>
        <v>68</v>
      </c>
      <c r="L123" s="493">
        <f t="shared" si="33"/>
        <v>64</v>
      </c>
      <c r="M123" s="493">
        <f t="shared" si="33"/>
        <v>60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t="str">
        <f>B44</f>
        <v>建成年代</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C32 E32 G32 I32" xr:uid="{00000000-0002-0000-1700-000006000000}">
      <formula1>住宅建筑类型</formula1>
    </dataValidation>
    <dataValidation type="list" allowBlank="1" showInputMessage="1" showErrorMessage="1" sqref="C34 E34 G34 I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sheetPr>
  <dimension ref="A1:Q11"/>
  <sheetViews>
    <sheetView workbookViewId="0">
      <selection activeCell="M4" sqref="M4"/>
    </sheetView>
  </sheetViews>
  <sheetFormatPr defaultColWidth="8.875" defaultRowHeight="14.25"/>
  <cols>
    <col min="1" max="1" width="5.875" customWidth="1"/>
    <col min="2" max="2" width="21.5" customWidth="1"/>
    <col min="3" max="3" width="7.25" customWidth="1"/>
    <col min="4" max="9" width="5.875" customWidth="1"/>
    <col min="10" max="10" width="8.125" customWidth="1"/>
    <col min="11" max="13" width="5.875" customWidth="1"/>
    <col min="14" max="14" width="5.875" hidden="1" customWidth="1"/>
    <col min="15" max="15" width="8.125" customWidth="1"/>
    <col min="16" max="17" width="14.625" customWidth="1"/>
  </cols>
  <sheetData>
    <row r="1" spans="1:17" ht="30" customHeight="1">
      <c r="A1" s="3472" t="s">
        <v>3443</v>
      </c>
      <c r="B1" s="3472" t="s">
        <v>3444</v>
      </c>
      <c r="C1" s="3472" t="s">
        <v>3445</v>
      </c>
      <c r="D1" s="3472" t="s">
        <v>3446</v>
      </c>
      <c r="E1" s="3472" t="s">
        <v>3447</v>
      </c>
      <c r="F1" s="3472" t="s">
        <v>3448</v>
      </c>
      <c r="G1" s="3472" t="s">
        <v>3449</v>
      </c>
      <c r="H1" s="3472" t="s">
        <v>3450</v>
      </c>
      <c r="I1" s="3472" t="s">
        <v>3451</v>
      </c>
      <c r="J1" s="3472" t="s">
        <v>3452</v>
      </c>
      <c r="K1" s="3472" t="s">
        <v>3453</v>
      </c>
      <c r="L1" s="3472" t="s">
        <v>3454</v>
      </c>
      <c r="M1" s="3472" t="s">
        <v>3455</v>
      </c>
      <c r="N1" s="3472" t="s">
        <v>3456</v>
      </c>
      <c r="O1" s="3472" t="s">
        <v>3457</v>
      </c>
      <c r="P1" s="3472" t="s">
        <v>3458</v>
      </c>
      <c r="Q1" s="3478" t="s">
        <v>3487</v>
      </c>
    </row>
    <row r="2" spans="1:17" ht="16.5" customHeight="1">
      <c r="A2" s="3472">
        <v>1</v>
      </c>
      <c r="B2" s="3472" t="s">
        <v>3472</v>
      </c>
      <c r="C2" s="3472" t="s">
        <v>3473</v>
      </c>
      <c r="D2" s="3472" t="s">
        <v>3459</v>
      </c>
      <c r="E2" s="3472">
        <v>36.17</v>
      </c>
      <c r="F2" s="3472" t="s">
        <v>3384</v>
      </c>
      <c r="G2" s="3472">
        <v>6</v>
      </c>
      <c r="H2" s="3472">
        <v>5</v>
      </c>
      <c r="I2" s="3472" t="s">
        <v>3481</v>
      </c>
      <c r="J2" s="3472" t="s">
        <v>3482</v>
      </c>
      <c r="K2" s="3472" t="s">
        <v>3461</v>
      </c>
      <c r="L2" s="3472">
        <v>1989</v>
      </c>
      <c r="M2" s="3472">
        <v>131269</v>
      </c>
      <c r="N2" s="3472">
        <v>37314</v>
      </c>
      <c r="O2" s="3472">
        <f>ROUND(E2*M2/10000,0)</f>
        <v>475</v>
      </c>
      <c r="P2" s="3473">
        <v>44983</v>
      </c>
      <c r="Q2" s="3473" t="s">
        <v>3489</v>
      </c>
    </row>
    <row r="3" spans="1:17" ht="16.5" customHeight="1">
      <c r="A3" s="3472">
        <v>2</v>
      </c>
      <c r="B3" s="3472" t="s">
        <v>3474</v>
      </c>
      <c r="C3" s="3472" t="s">
        <v>3473</v>
      </c>
      <c r="D3" s="3472" t="s">
        <v>3459</v>
      </c>
      <c r="E3" s="3472">
        <v>36.21</v>
      </c>
      <c r="F3" s="3472" t="s">
        <v>3384</v>
      </c>
      <c r="G3" s="3472">
        <v>6</v>
      </c>
      <c r="H3" s="3472">
        <v>5</v>
      </c>
      <c r="I3" s="3472" t="s">
        <v>3481</v>
      </c>
      <c r="J3" s="3472" t="s">
        <v>3482</v>
      </c>
      <c r="K3" s="3472" t="s">
        <v>3461</v>
      </c>
      <c r="L3" s="3472">
        <v>1984</v>
      </c>
      <c r="M3" s="3472">
        <v>130793</v>
      </c>
      <c r="N3" s="3472">
        <v>33178</v>
      </c>
      <c r="O3" s="3472">
        <f t="shared" ref="O3:O5" si="0">ROUND(E3*M3/10000,0)</f>
        <v>474</v>
      </c>
      <c r="P3" s="3473">
        <v>44978</v>
      </c>
      <c r="Q3" s="3473" t="s">
        <v>3489</v>
      </c>
    </row>
    <row r="4" spans="1:17" s="3484" customFormat="1" ht="16.5" customHeight="1">
      <c r="A4" s="3482">
        <v>3</v>
      </c>
      <c r="B4" s="3482" t="s">
        <v>3475</v>
      </c>
      <c r="C4" s="3482" t="s">
        <v>3473</v>
      </c>
      <c r="D4" s="3482" t="s">
        <v>3459</v>
      </c>
      <c r="E4" s="3482">
        <v>53.95</v>
      </c>
      <c r="F4" s="3482" t="s">
        <v>3384</v>
      </c>
      <c r="G4" s="3482">
        <v>6</v>
      </c>
      <c r="H4" s="3482">
        <v>1</v>
      </c>
      <c r="I4" s="3482" t="s">
        <v>3484</v>
      </c>
      <c r="J4" s="3482" t="s">
        <v>3482</v>
      </c>
      <c r="K4" s="3482" t="s">
        <v>3461</v>
      </c>
      <c r="L4" s="3482">
        <v>1984</v>
      </c>
      <c r="M4" s="3482">
        <v>113994</v>
      </c>
      <c r="N4" s="3482">
        <v>38124</v>
      </c>
      <c r="O4" s="3482">
        <f t="shared" si="0"/>
        <v>615</v>
      </c>
      <c r="P4" s="3483">
        <v>44964</v>
      </c>
      <c r="Q4" s="3483" t="s">
        <v>3486</v>
      </c>
    </row>
    <row r="5" spans="1:17" ht="16.5" customHeight="1">
      <c r="A5" s="3472">
        <v>4</v>
      </c>
      <c r="B5" s="3472" t="s">
        <v>3477</v>
      </c>
      <c r="C5" s="3472" t="s">
        <v>3473</v>
      </c>
      <c r="D5" s="3472" t="s">
        <v>3459</v>
      </c>
      <c r="E5" s="3472">
        <v>54.68</v>
      </c>
      <c r="F5" s="3472" t="s">
        <v>3384</v>
      </c>
      <c r="G5" s="3472">
        <v>6</v>
      </c>
      <c r="H5" s="3472">
        <v>6</v>
      </c>
      <c r="I5" s="3472" t="s">
        <v>3484</v>
      </c>
      <c r="J5" s="3472" t="s">
        <v>3482</v>
      </c>
      <c r="K5" s="3472" t="s">
        <v>3461</v>
      </c>
      <c r="L5" s="3472">
        <v>1989</v>
      </c>
      <c r="M5" s="3472">
        <v>100402</v>
      </c>
      <c r="N5" s="3472"/>
      <c r="O5" s="3472">
        <f t="shared" si="0"/>
        <v>549</v>
      </c>
      <c r="P5" s="3473">
        <v>44955</v>
      </c>
      <c r="Q5" s="3473" t="s">
        <v>3488</v>
      </c>
    </row>
    <row r="6" spans="1:17" ht="16.5" customHeight="1">
      <c r="A6" s="3470">
        <v>5</v>
      </c>
      <c r="B6" s="3470" t="s">
        <v>3478</v>
      </c>
      <c r="C6" s="3470" t="s">
        <v>3473</v>
      </c>
      <c r="D6" s="3470" t="s">
        <v>3459</v>
      </c>
      <c r="E6" s="3470">
        <v>47.35</v>
      </c>
      <c r="F6" s="3470" t="s">
        <v>3384</v>
      </c>
      <c r="G6" s="3470">
        <v>6</v>
      </c>
      <c r="H6" s="3470">
        <v>1</v>
      </c>
      <c r="I6" s="3470" t="s">
        <v>3481</v>
      </c>
      <c r="J6" s="3470" t="s">
        <v>3482</v>
      </c>
      <c r="K6" s="3470" t="s">
        <v>3461</v>
      </c>
      <c r="L6" s="3470">
        <v>1984</v>
      </c>
      <c r="M6" s="3470">
        <v>116579</v>
      </c>
      <c r="N6" s="3470"/>
      <c r="O6" s="3470">
        <f t="shared" ref="O6" si="1">ROUND(E6*M6/10000,0)</f>
        <v>552</v>
      </c>
      <c r="P6" s="3471">
        <v>44918</v>
      </c>
      <c r="Q6" s="3471" t="s">
        <v>3486</v>
      </c>
    </row>
    <row r="7" spans="1:17" ht="16.5" customHeight="1">
      <c r="A7" s="3470">
        <v>6</v>
      </c>
      <c r="B7" s="3470" t="s">
        <v>3479</v>
      </c>
      <c r="C7" s="3470" t="s">
        <v>3473</v>
      </c>
      <c r="D7" s="3470" t="s">
        <v>3459</v>
      </c>
      <c r="E7" s="3470">
        <v>36.21</v>
      </c>
      <c r="F7" s="3470" t="s">
        <v>3384</v>
      </c>
      <c r="G7" s="3470">
        <v>6</v>
      </c>
      <c r="H7" s="3470">
        <v>4</v>
      </c>
      <c r="I7" s="3470" t="s">
        <v>3481</v>
      </c>
      <c r="J7" s="3470" t="s">
        <v>3482</v>
      </c>
      <c r="K7" s="3470" t="s">
        <v>3461</v>
      </c>
      <c r="L7" s="3470">
        <v>1984</v>
      </c>
      <c r="M7" s="3470">
        <v>124275</v>
      </c>
      <c r="N7" s="3470"/>
      <c r="O7" s="3470">
        <f t="shared" ref="O7" si="2">ROUND(E7*M7/10000,0)</f>
        <v>450</v>
      </c>
      <c r="P7" s="3471">
        <v>44883</v>
      </c>
      <c r="Q7" s="3471" t="s">
        <v>3489</v>
      </c>
    </row>
    <row r="8" spans="1:17" ht="16.5" customHeight="1">
      <c r="A8" s="3472">
        <v>7</v>
      </c>
      <c r="B8" s="3472" t="s">
        <v>3480</v>
      </c>
      <c r="C8" s="3472" t="s">
        <v>3473</v>
      </c>
      <c r="D8" s="3472" t="s">
        <v>3459</v>
      </c>
      <c r="E8" s="3472">
        <v>36.17</v>
      </c>
      <c r="F8" s="3472" t="s">
        <v>3384</v>
      </c>
      <c r="G8" s="3472">
        <v>6</v>
      </c>
      <c r="H8" s="3472">
        <v>2</v>
      </c>
      <c r="I8" s="3472" t="s">
        <v>3481</v>
      </c>
      <c r="J8" s="3472" t="s">
        <v>3482</v>
      </c>
      <c r="K8" s="3472" t="s">
        <v>3461</v>
      </c>
      <c r="L8" s="3472">
        <v>1989</v>
      </c>
      <c r="M8" s="3472">
        <v>131877</v>
      </c>
      <c r="N8" s="3472"/>
      <c r="O8" s="3472">
        <f t="shared" ref="O8" si="3">ROUND(E8*M8/10000,0)</f>
        <v>477</v>
      </c>
      <c r="P8" s="3473">
        <v>44846</v>
      </c>
      <c r="Q8" s="3473" t="s">
        <v>3489</v>
      </c>
    </row>
    <row r="9" spans="1:17" ht="16.5" customHeight="1">
      <c r="A9" s="3472">
        <v>8</v>
      </c>
      <c r="B9" s="3472" t="s">
        <v>3476</v>
      </c>
      <c r="C9" s="3472" t="s">
        <v>3473</v>
      </c>
      <c r="D9" s="3472" t="s">
        <v>3459</v>
      </c>
      <c r="E9" s="3472">
        <v>44.52</v>
      </c>
      <c r="F9" s="3472" t="s">
        <v>3384</v>
      </c>
      <c r="G9" s="3472">
        <v>18</v>
      </c>
      <c r="H9" s="3472">
        <v>1</v>
      </c>
      <c r="I9" s="3472" t="s">
        <v>3481</v>
      </c>
      <c r="J9" s="3472" t="s">
        <v>3485</v>
      </c>
      <c r="K9" s="3472" t="s">
        <v>3461</v>
      </c>
      <c r="L9" s="3472">
        <v>1990</v>
      </c>
      <c r="M9" s="3472">
        <v>108670</v>
      </c>
      <c r="N9" s="3472">
        <v>38957</v>
      </c>
      <c r="O9" s="3472">
        <f>ROUND(E9*M9/10000,0)</f>
        <v>484</v>
      </c>
      <c r="P9" s="3473">
        <v>44969</v>
      </c>
      <c r="Q9" s="3473" t="s">
        <v>3489</v>
      </c>
    </row>
    <row r="10" spans="1:17" ht="16.5" customHeight="1"/>
    <row r="11" spans="1:17" ht="16.5" customHeight="1"/>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K26"/>
  <sheetViews>
    <sheetView view="pageBreakPreview" zoomScale="80" zoomScaleNormal="80" zoomScaleSheetLayoutView="80" workbookViewId="0">
      <selection activeCell="E19" sqref="E19"/>
    </sheetView>
  </sheetViews>
  <sheetFormatPr defaultColWidth="9" defaultRowHeight="14.25"/>
  <cols>
    <col min="1" max="1" width="25" style="2510" customWidth="1"/>
    <col min="2" max="9" width="15.625" style="2510" customWidth="1"/>
    <col min="10" max="16384" width="9" style="2510"/>
  </cols>
  <sheetData>
    <row r="1" spans="1:11" ht="16.5">
      <c r="A1" s="2509" t="s">
        <v>665</v>
      </c>
      <c r="B1" s="2509">
        <f>'数据-汇总表'!E19</f>
        <v>56.8</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45131</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645</v>
      </c>
      <c r="C5" s="2509" t="e">
        <f ca="1">IF(B5=D14,结果表!H102,ROUND(B5*10000/$B$1,0))</f>
        <v>#REF!</v>
      </c>
      <c r="D5" s="2509" t="e">
        <f ca="1">ROUND(B5*10000/$B$2,0)</f>
        <v>#DIV/0!</v>
      </c>
      <c r="E5" s="2683"/>
      <c r="F5" s="2684"/>
      <c r="G5" s="2684"/>
      <c r="H5" s="2685"/>
      <c r="I5" s="2685"/>
      <c r="J5" s="2685"/>
      <c r="K5" s="2685"/>
    </row>
    <row r="6" spans="1:11" ht="16.5">
      <c r="A6" s="2509" t="s">
        <v>656</v>
      </c>
      <c r="B6" s="2509">
        <f>SUM(G14:G23)</f>
        <v>0</v>
      </c>
      <c r="C6" s="2509" t="e">
        <f ca="1">IF(B6=G14,结果表!H108,ROUND(B6*10000/$B$1,0))</f>
        <v>#REF!</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3363</v>
      </c>
      <c r="D10" s="2509" t="s">
        <v>3364</v>
      </c>
      <c r="E10" s="3438"/>
      <c r="F10" s="3442" t="s">
        <v>3365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B1</f>
        <v>56.8</v>
      </c>
      <c r="C14" s="2515"/>
      <c r="D14" s="2515">
        <f ca="1">结果表!G19</f>
        <v>645</v>
      </c>
      <c r="E14" s="2515">
        <f ca="1">ROUND(D14*10000/B14,0)</f>
        <v>113556</v>
      </c>
      <c r="F14" s="2515" t="e">
        <f ca="1">ROUND(D14*10000/C14,0)</f>
        <v>#DIV/0!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625" style="2999" customWidth="1"/>
    <col min="11" max="11" width="11.625" style="2999" customWidth="1"/>
    <col min="12" max="13" width="10.62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625" style="2839" customWidth="1"/>
    <col min="267" max="267" width="11.625" style="2839" customWidth="1"/>
    <col min="268" max="269" width="10.62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625" style="2839" customWidth="1"/>
    <col min="523" max="523" width="11.625" style="2839" customWidth="1"/>
    <col min="524" max="525" width="10.62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625" style="2839" customWidth="1"/>
    <col min="779" max="779" width="11.625" style="2839" customWidth="1"/>
    <col min="780" max="781" width="10.62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625" style="2839" customWidth="1"/>
    <col min="1035" max="1035" width="11.625" style="2839" customWidth="1"/>
    <col min="1036" max="1037" width="10.62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625" style="2839" customWidth="1"/>
    <col min="1291" max="1291" width="11.625" style="2839" customWidth="1"/>
    <col min="1292" max="1293" width="10.62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625" style="2839" customWidth="1"/>
    <col min="1547" max="1547" width="11.625" style="2839" customWidth="1"/>
    <col min="1548" max="1549" width="10.62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625" style="2839" customWidth="1"/>
    <col min="1803" max="1803" width="11.625" style="2839" customWidth="1"/>
    <col min="1804" max="1805" width="10.62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625" style="2839" customWidth="1"/>
    <col min="2059" max="2059" width="11.625" style="2839" customWidth="1"/>
    <col min="2060" max="2061" width="10.62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625" style="2839" customWidth="1"/>
    <col min="2315" max="2315" width="11.625" style="2839" customWidth="1"/>
    <col min="2316" max="2317" width="10.62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625" style="2839" customWidth="1"/>
    <col min="2571" max="2571" width="11.625" style="2839" customWidth="1"/>
    <col min="2572" max="2573" width="10.62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625" style="2839" customWidth="1"/>
    <col min="2827" max="2827" width="11.625" style="2839" customWidth="1"/>
    <col min="2828" max="2829" width="10.62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625" style="2839" customWidth="1"/>
    <col min="3083" max="3083" width="11.625" style="2839" customWidth="1"/>
    <col min="3084" max="3085" width="10.62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625" style="2839" customWidth="1"/>
    <col min="3339" max="3339" width="11.625" style="2839" customWidth="1"/>
    <col min="3340" max="3341" width="10.62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625" style="2839" customWidth="1"/>
    <col min="3595" max="3595" width="11.625" style="2839" customWidth="1"/>
    <col min="3596" max="3597" width="10.62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625" style="2839" customWidth="1"/>
    <col min="3851" max="3851" width="11.625" style="2839" customWidth="1"/>
    <col min="3852" max="3853" width="10.62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625" style="2839" customWidth="1"/>
    <col min="4107" max="4107" width="11.625" style="2839" customWidth="1"/>
    <col min="4108" max="4109" width="10.62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625" style="2839" customWidth="1"/>
    <col min="4363" max="4363" width="11.625" style="2839" customWidth="1"/>
    <col min="4364" max="4365" width="10.62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625" style="2839" customWidth="1"/>
    <col min="4619" max="4619" width="11.625" style="2839" customWidth="1"/>
    <col min="4620" max="4621" width="10.62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625" style="2839" customWidth="1"/>
    <col min="4875" max="4875" width="11.625" style="2839" customWidth="1"/>
    <col min="4876" max="4877" width="10.62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625" style="2839" customWidth="1"/>
    <col min="5131" max="5131" width="11.625" style="2839" customWidth="1"/>
    <col min="5132" max="5133" width="10.62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625" style="2839" customWidth="1"/>
    <col min="5387" max="5387" width="11.625" style="2839" customWidth="1"/>
    <col min="5388" max="5389" width="10.62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625" style="2839" customWidth="1"/>
    <col min="5643" max="5643" width="11.625" style="2839" customWidth="1"/>
    <col min="5644" max="5645" width="10.62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625" style="2839" customWidth="1"/>
    <col min="5899" max="5899" width="11.625" style="2839" customWidth="1"/>
    <col min="5900" max="5901" width="10.62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625" style="2839" customWidth="1"/>
    <col min="6155" max="6155" width="11.625" style="2839" customWidth="1"/>
    <col min="6156" max="6157" width="10.62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625" style="2839" customWidth="1"/>
    <col min="6411" max="6411" width="11.625" style="2839" customWidth="1"/>
    <col min="6412" max="6413" width="10.62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625" style="2839" customWidth="1"/>
    <col min="6667" max="6667" width="11.625" style="2839" customWidth="1"/>
    <col min="6668" max="6669" width="10.62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625" style="2839" customWidth="1"/>
    <col min="6923" max="6923" width="11.625" style="2839" customWidth="1"/>
    <col min="6924" max="6925" width="10.62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625" style="2839" customWidth="1"/>
    <col min="7179" max="7179" width="11.625" style="2839" customWidth="1"/>
    <col min="7180" max="7181" width="10.62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625" style="2839" customWidth="1"/>
    <col min="7435" max="7435" width="11.625" style="2839" customWidth="1"/>
    <col min="7436" max="7437" width="10.62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625" style="2839" customWidth="1"/>
    <col min="7691" max="7691" width="11.625" style="2839" customWidth="1"/>
    <col min="7692" max="7693" width="10.62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625" style="2839" customWidth="1"/>
    <col min="7947" max="7947" width="11.625" style="2839" customWidth="1"/>
    <col min="7948" max="7949" width="10.62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625" style="2839" customWidth="1"/>
    <col min="8203" max="8203" width="11.625" style="2839" customWidth="1"/>
    <col min="8204" max="8205" width="10.62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625" style="2839" customWidth="1"/>
    <col min="8459" max="8459" width="11.625" style="2839" customWidth="1"/>
    <col min="8460" max="8461" width="10.62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625" style="2839" customWidth="1"/>
    <col min="8715" max="8715" width="11.625" style="2839" customWidth="1"/>
    <col min="8716" max="8717" width="10.62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625" style="2839" customWidth="1"/>
    <col min="8971" max="8971" width="11.625" style="2839" customWidth="1"/>
    <col min="8972" max="8973" width="10.62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625" style="2839" customWidth="1"/>
    <col min="9227" max="9227" width="11.625" style="2839" customWidth="1"/>
    <col min="9228" max="9229" width="10.62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625" style="2839" customWidth="1"/>
    <col min="9483" max="9483" width="11.625" style="2839" customWidth="1"/>
    <col min="9484" max="9485" width="10.62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625" style="2839" customWidth="1"/>
    <col min="9739" max="9739" width="11.625" style="2839" customWidth="1"/>
    <col min="9740" max="9741" width="10.62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625" style="2839" customWidth="1"/>
    <col min="9995" max="9995" width="11.625" style="2839" customWidth="1"/>
    <col min="9996" max="9997" width="10.62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625" style="2839" customWidth="1"/>
    <col min="10251" max="10251" width="11.625" style="2839" customWidth="1"/>
    <col min="10252" max="10253" width="10.62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625" style="2839" customWidth="1"/>
    <col min="10507" max="10507" width="11.625" style="2839" customWidth="1"/>
    <col min="10508" max="10509" width="10.62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625" style="2839" customWidth="1"/>
    <col min="10763" max="10763" width="11.625" style="2839" customWidth="1"/>
    <col min="10764" max="10765" width="10.62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625" style="2839" customWidth="1"/>
    <col min="11019" max="11019" width="11.625" style="2839" customWidth="1"/>
    <col min="11020" max="11021" width="10.62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625" style="2839" customWidth="1"/>
    <col min="11275" max="11275" width="11.625" style="2839" customWidth="1"/>
    <col min="11276" max="11277" width="10.62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625" style="2839" customWidth="1"/>
    <col min="11531" max="11531" width="11.625" style="2839" customWidth="1"/>
    <col min="11532" max="11533" width="10.62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625" style="2839" customWidth="1"/>
    <col min="11787" max="11787" width="11.625" style="2839" customWidth="1"/>
    <col min="11788" max="11789" width="10.62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625" style="2839" customWidth="1"/>
    <col min="12043" max="12043" width="11.625" style="2839" customWidth="1"/>
    <col min="12044" max="12045" width="10.62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625" style="2839" customWidth="1"/>
    <col min="12299" max="12299" width="11.625" style="2839" customWidth="1"/>
    <col min="12300" max="12301" width="10.62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625" style="2839" customWidth="1"/>
    <col min="12555" max="12555" width="11.625" style="2839" customWidth="1"/>
    <col min="12556" max="12557" width="10.62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625" style="2839" customWidth="1"/>
    <col min="12811" max="12811" width="11.625" style="2839" customWidth="1"/>
    <col min="12812" max="12813" width="10.62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625" style="2839" customWidth="1"/>
    <col min="13067" max="13067" width="11.625" style="2839" customWidth="1"/>
    <col min="13068" max="13069" width="10.62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625" style="2839" customWidth="1"/>
    <col min="13323" max="13323" width="11.625" style="2839" customWidth="1"/>
    <col min="13324" max="13325" width="10.62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625" style="2839" customWidth="1"/>
    <col min="13579" max="13579" width="11.625" style="2839" customWidth="1"/>
    <col min="13580" max="13581" width="10.62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625" style="2839" customWidth="1"/>
    <col min="13835" max="13835" width="11.625" style="2839" customWidth="1"/>
    <col min="13836" max="13837" width="10.62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625" style="2839" customWidth="1"/>
    <col min="14091" max="14091" width="11.625" style="2839" customWidth="1"/>
    <col min="14092" max="14093" width="10.62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625" style="2839" customWidth="1"/>
    <col min="14347" max="14347" width="11.625" style="2839" customWidth="1"/>
    <col min="14348" max="14349" width="10.62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625" style="2839" customWidth="1"/>
    <col min="14603" max="14603" width="11.625" style="2839" customWidth="1"/>
    <col min="14604" max="14605" width="10.62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625" style="2839" customWidth="1"/>
    <col min="14859" max="14859" width="11.625" style="2839" customWidth="1"/>
    <col min="14860" max="14861" width="10.62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625" style="2839" customWidth="1"/>
    <col min="15115" max="15115" width="11.625" style="2839" customWidth="1"/>
    <col min="15116" max="15117" width="10.62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625" style="2839" customWidth="1"/>
    <col min="15371" max="15371" width="11.625" style="2839" customWidth="1"/>
    <col min="15372" max="15373" width="10.62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625" style="2839" customWidth="1"/>
    <col min="15627" max="15627" width="11.625" style="2839" customWidth="1"/>
    <col min="15628" max="15629" width="10.62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625" style="2839" customWidth="1"/>
    <col min="15883" max="15883" width="11.625" style="2839" customWidth="1"/>
    <col min="15884" max="15885" width="10.62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625" style="2839" customWidth="1"/>
    <col min="16139" max="16139" width="11.625" style="2839" customWidth="1"/>
    <col min="16140" max="16141" width="10.62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35" customHeight="1">
      <c r="A2" s="1384" t="s">
        <v>2318</v>
      </c>
      <c r="B2" s="2840" t="e">
        <f>IF(D2="——",C40,C40+E2)</f>
        <v>#DIV/0!</v>
      </c>
      <c r="C2" s="2841" t="s">
        <v>2319</v>
      </c>
      <c r="D2" s="3440" t="s">
        <v>3366</v>
      </c>
      <c r="E2" s="3441"/>
      <c r="F2" s="2843"/>
      <c r="G2" s="2844"/>
      <c r="H2" s="2845"/>
      <c r="I2" s="2846"/>
      <c r="J2" s="3730" t="s">
        <v>2320</v>
      </c>
      <c r="K2" s="3731"/>
      <c r="L2" s="2847" t="s">
        <v>2321</v>
      </c>
      <c r="M2" s="2847" t="s">
        <v>2322</v>
      </c>
      <c r="N2" s="2847" t="s">
        <v>2323</v>
      </c>
      <c r="O2" s="2847" t="s">
        <v>2324</v>
      </c>
      <c r="P2" s="2847" t="s">
        <v>2325</v>
      </c>
      <c r="Q2" s="2848" t="s">
        <v>2326</v>
      </c>
      <c r="R2" s="2849" t="s">
        <v>2327</v>
      </c>
      <c r="S2" s="2838"/>
      <c r="T2" s="2838"/>
      <c r="U2" s="2838"/>
      <c r="V2" s="2846"/>
    </row>
    <row r="3" spans="1:22" s="2850" customFormat="1" ht="13.35" customHeight="1">
      <c r="A3" s="2851" t="s">
        <v>2328</v>
      </c>
      <c r="B3" s="2852" t="e">
        <f>ROUND(B2*10000/B4,0)</f>
        <v>#DIV/0!</v>
      </c>
      <c r="C3" s="2841" t="s">
        <v>2329</v>
      </c>
      <c r="D3" s="2841"/>
      <c r="E3" s="2842"/>
      <c r="F3" s="2843"/>
      <c r="G3" s="2844"/>
      <c r="H3" s="2845"/>
      <c r="I3" s="2846"/>
      <c r="J3" s="3732" t="s">
        <v>2330</v>
      </c>
      <c r="K3" s="3733"/>
      <c r="L3" s="2853"/>
      <c r="M3" s="2853"/>
      <c r="N3" s="2853"/>
      <c r="O3" s="2853"/>
      <c r="P3" s="2853"/>
      <c r="Q3" s="2854"/>
      <c r="R3" s="2855">
        <f>SUM(L3:Q3)</f>
        <v>0</v>
      </c>
      <c r="S3" s="2838"/>
      <c r="T3" s="2838"/>
      <c r="U3" s="2838"/>
      <c r="V3" s="2846"/>
    </row>
    <row r="4" spans="1:22" s="2850" customFormat="1" ht="13.35" customHeight="1">
      <c r="A4" s="2856" t="s">
        <v>2331</v>
      </c>
      <c r="B4" s="2857"/>
      <c r="C4" s="2841"/>
      <c r="D4" s="2841"/>
      <c r="E4" s="2842"/>
      <c r="F4" s="2843"/>
      <c r="G4" s="2844"/>
      <c r="H4" s="2845"/>
      <c r="I4" s="2846"/>
      <c r="J4" s="3732" t="s">
        <v>2332</v>
      </c>
      <c r="K4" s="3733"/>
      <c r="L4" s="2858"/>
      <c r="M4" s="2858"/>
      <c r="N4" s="2858"/>
      <c r="O4" s="2858"/>
      <c r="P4" s="2858"/>
      <c r="Q4" s="2859"/>
      <c r="R4" s="2860">
        <f>SUM(L4:Q4)</f>
        <v>0</v>
      </c>
      <c r="S4" s="2838"/>
      <c r="T4" s="2838"/>
      <c r="U4" s="2838"/>
      <c r="V4" s="2846"/>
    </row>
    <row r="5" spans="1:22" s="2850" customFormat="1" ht="13.3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35" customHeight="1" thickBot="1">
      <c r="A6" s="3738" t="s">
        <v>2336</v>
      </c>
      <c r="B6" s="3739"/>
      <c r="C6" s="3740"/>
      <c r="D6" s="2867"/>
      <c r="E6" s="2868"/>
      <c r="F6" s="2869"/>
      <c r="G6" s="2870"/>
      <c r="H6" s="2845"/>
      <c r="I6" s="2846"/>
      <c r="J6" s="3724">
        <v>1</v>
      </c>
      <c r="K6" s="3725"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35" customHeight="1">
      <c r="A7" s="2873" t="s">
        <v>2346</v>
      </c>
      <c r="B7" s="2874"/>
      <c r="C7" s="2875"/>
      <c r="D7" s="2876">
        <f>SUM(D9,D10,D11,D17,0)</f>
        <v>0</v>
      </c>
      <c r="E7" s="2877" t="e">
        <f>E9+E10+E11+E17</f>
        <v>#DIV/0!</v>
      </c>
      <c r="F7" s="2878"/>
      <c r="G7" s="2879"/>
      <c r="H7" s="2845"/>
      <c r="I7" s="2846"/>
      <c r="J7" s="3724"/>
      <c r="K7" s="3726"/>
      <c r="L7" s="2880" t="s">
        <v>2347</v>
      </c>
      <c r="M7" s="2881"/>
      <c r="N7" s="2857"/>
      <c r="O7" s="2882"/>
      <c r="P7" s="2882"/>
      <c r="Q7" s="2883">
        <v>365</v>
      </c>
      <c r="R7" s="2884">
        <f>ROUND(M7*N7*O7*P7*Q7/10000,0)</f>
        <v>0</v>
      </c>
      <c r="S7" s="2838"/>
      <c r="T7" s="2838" t="s">
        <v>2348</v>
      </c>
      <c r="U7" s="2838"/>
      <c r="V7" s="2846"/>
    </row>
    <row r="8" spans="1:22" s="2850" customFormat="1" ht="13.35" customHeight="1">
      <c r="A8" s="2885" t="s">
        <v>2349</v>
      </c>
      <c r="B8" s="3741" t="s">
        <v>2350</v>
      </c>
      <c r="C8" s="3742"/>
      <c r="D8" s="2886" t="s">
        <v>2351</v>
      </c>
      <c r="E8" s="2887" t="s">
        <v>2352</v>
      </c>
      <c r="F8" s="2888" t="s">
        <v>2353</v>
      </c>
      <c r="G8" s="2889"/>
      <c r="H8" s="2845"/>
      <c r="I8" s="2846"/>
      <c r="J8" s="3724"/>
      <c r="K8" s="3726"/>
      <c r="L8" s="2880" t="s">
        <v>2354</v>
      </c>
      <c r="M8" s="2881"/>
      <c r="N8" s="2857"/>
      <c r="O8" s="2882"/>
      <c r="P8" s="2882"/>
      <c r="Q8" s="2883">
        <v>365</v>
      </c>
      <c r="R8" s="2884">
        <f t="shared" ref="R8:R13" si="0">ROUND(M8*N8*O8*P8*Q8/10000,0)</f>
        <v>0</v>
      </c>
      <c r="S8" s="2838"/>
      <c r="T8" s="2838" t="s">
        <v>2355</v>
      </c>
      <c r="U8" s="2838"/>
      <c r="V8" s="2846"/>
    </row>
    <row r="9" spans="1:22" s="2850" customFormat="1" ht="13.35" customHeight="1">
      <c r="A9" s="2885">
        <v>1</v>
      </c>
      <c r="B9" s="3741" t="s">
        <v>2356</v>
      </c>
      <c r="C9" s="3742"/>
      <c r="D9" s="2886">
        <f>ROUND(D6*E9,0)</f>
        <v>0</v>
      </c>
      <c r="E9" s="2890"/>
      <c r="F9" s="2891" t="s">
        <v>2357</v>
      </c>
      <c r="G9" s="2870"/>
      <c r="H9" s="2845"/>
      <c r="I9" s="2846"/>
      <c r="J9" s="3724"/>
      <c r="K9" s="3726"/>
      <c r="L9" s="2880" t="s">
        <v>2358</v>
      </c>
      <c r="M9" s="2881"/>
      <c r="N9" s="2857"/>
      <c r="O9" s="2882"/>
      <c r="P9" s="2882"/>
      <c r="Q9" s="2883">
        <v>365</v>
      </c>
      <c r="R9" s="2884">
        <f t="shared" si="0"/>
        <v>0</v>
      </c>
      <c r="S9" s="2838"/>
      <c r="T9" s="2838"/>
      <c r="U9" s="2838"/>
      <c r="V9" s="2846"/>
    </row>
    <row r="10" spans="1:22" s="2850" customFormat="1" ht="13.35" customHeight="1">
      <c r="A10" s="2885">
        <v>2</v>
      </c>
      <c r="B10" s="3741" t="s">
        <v>2359</v>
      </c>
      <c r="C10" s="3742"/>
      <c r="D10" s="2886">
        <f>ROUND(D6*E10,0)</f>
        <v>0</v>
      </c>
      <c r="E10" s="2890"/>
      <c r="F10" s="2891" t="s">
        <v>2360</v>
      </c>
      <c r="G10" s="2870"/>
      <c r="H10" s="2845"/>
      <c r="I10" s="2846"/>
      <c r="J10" s="3724"/>
      <c r="K10" s="3726"/>
      <c r="L10" s="2880" t="s">
        <v>2361</v>
      </c>
      <c r="M10" s="2881"/>
      <c r="N10" s="2857"/>
      <c r="O10" s="2882"/>
      <c r="P10" s="2882"/>
      <c r="Q10" s="2883">
        <v>365</v>
      </c>
      <c r="R10" s="2884">
        <f t="shared" si="0"/>
        <v>0</v>
      </c>
      <c r="S10" s="2838"/>
      <c r="T10" s="2838"/>
      <c r="U10" s="2838"/>
      <c r="V10" s="2846"/>
    </row>
    <row r="11" spans="1:22" s="2850" customFormat="1" ht="13.35" customHeight="1">
      <c r="A11" s="2885">
        <v>3</v>
      </c>
      <c r="B11" s="3741" t="s">
        <v>2362</v>
      </c>
      <c r="C11" s="3742"/>
      <c r="D11" s="2886">
        <f>D12+D14+D15+D16</f>
        <v>0</v>
      </c>
      <c r="E11" s="2892" t="e">
        <f>D11/D6</f>
        <v>#DIV/0!</v>
      </c>
      <c r="F11" s="2888"/>
      <c r="G11" s="2889"/>
      <c r="H11" s="2845"/>
      <c r="I11" s="2846"/>
      <c r="J11" s="3724"/>
      <c r="K11" s="3726"/>
      <c r="L11" s="2880" t="s">
        <v>2363</v>
      </c>
      <c r="M11" s="2881"/>
      <c r="N11" s="2857"/>
      <c r="O11" s="2882"/>
      <c r="P11" s="2882"/>
      <c r="Q11" s="2883">
        <v>365</v>
      </c>
      <c r="R11" s="2884">
        <f t="shared" si="0"/>
        <v>0</v>
      </c>
      <c r="S11" s="2838"/>
      <c r="T11" s="2838"/>
      <c r="U11" s="2838"/>
      <c r="V11" s="2846"/>
    </row>
    <row r="12" spans="1:22" s="2850" customFormat="1" ht="13.35" customHeight="1">
      <c r="A12" s="2893" t="s">
        <v>2364</v>
      </c>
      <c r="B12" s="3734" t="s">
        <v>2365</v>
      </c>
      <c r="C12" s="3735"/>
      <c r="D12" s="2894">
        <f>ROUND(D13*1.2%*(1-30%),0)</f>
        <v>0</v>
      </c>
      <c r="E12" s="2895">
        <v>1.2E-2</v>
      </c>
      <c r="F12" s="2888" t="s">
        <v>2366</v>
      </c>
      <c r="G12" s="2889"/>
      <c r="H12" s="2845"/>
      <c r="I12" s="2846"/>
      <c r="J12" s="3724"/>
      <c r="K12" s="3726"/>
      <c r="L12" s="2880" t="s">
        <v>2367</v>
      </c>
      <c r="M12" s="2881"/>
      <c r="N12" s="2857"/>
      <c r="O12" s="2882"/>
      <c r="P12" s="2882"/>
      <c r="Q12" s="2883">
        <v>365</v>
      </c>
      <c r="R12" s="2884">
        <f t="shared" si="0"/>
        <v>0</v>
      </c>
      <c r="S12" s="2838"/>
      <c r="T12" s="2838"/>
      <c r="U12" s="2838"/>
      <c r="V12" s="2846"/>
    </row>
    <row r="13" spans="1:22" s="2850" customFormat="1" ht="13.35" customHeight="1">
      <c r="A13" s="2893"/>
      <c r="B13" s="2896"/>
      <c r="C13" s="2897" t="s">
        <v>2368</v>
      </c>
      <c r="D13" s="2898"/>
      <c r="E13" s="2899"/>
      <c r="F13" s="2888"/>
      <c r="G13" s="2889"/>
      <c r="H13" s="2845"/>
      <c r="I13" s="2846"/>
      <c r="J13" s="3724"/>
      <c r="K13" s="3726"/>
      <c r="L13" s="2880" t="s">
        <v>2369</v>
      </c>
      <c r="M13" s="2881"/>
      <c r="N13" s="2857"/>
      <c r="O13" s="2882"/>
      <c r="P13" s="2882"/>
      <c r="Q13" s="2883">
        <v>365</v>
      </c>
      <c r="R13" s="2884">
        <f t="shared" si="0"/>
        <v>0</v>
      </c>
      <c r="S13" s="2838"/>
      <c r="T13" s="2838"/>
      <c r="U13" s="2838"/>
      <c r="V13" s="2846"/>
    </row>
    <row r="14" spans="1:22" s="2850" customFormat="1" ht="13.35" customHeight="1">
      <c r="A14" s="2893" t="s">
        <v>2370</v>
      </c>
      <c r="B14" s="3734" t="s">
        <v>2371</v>
      </c>
      <c r="C14" s="3735"/>
      <c r="D14" s="2894">
        <f>ROUND(E14*B5/10000,0)</f>
        <v>0</v>
      </c>
      <c r="E14" s="2883"/>
      <c r="F14" s="2888" t="s">
        <v>2372</v>
      </c>
      <c r="G14" s="2889"/>
      <c r="H14" s="2845"/>
      <c r="I14" s="2846"/>
      <c r="J14" s="3724"/>
      <c r="K14" s="3727"/>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35" customHeight="1">
      <c r="A15" s="2893" t="s">
        <v>2374</v>
      </c>
      <c r="B15" s="3734" t="s">
        <v>2375</v>
      </c>
      <c r="C15" s="3735"/>
      <c r="D15" s="2894">
        <f>ROUND(D6*E15,0)</f>
        <v>0</v>
      </c>
      <c r="E15" s="2895">
        <v>5.5E-2</v>
      </c>
      <c r="F15" s="2888" t="s">
        <v>2376</v>
      </c>
      <c r="G15" s="2870"/>
      <c r="H15" s="2845"/>
      <c r="I15" s="2846"/>
      <c r="J15" s="3724">
        <v>2</v>
      </c>
      <c r="K15" s="3725"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35" customHeight="1">
      <c r="A16" s="2893" t="s">
        <v>2383</v>
      </c>
      <c r="B16" s="3734" t="s">
        <v>2384</v>
      </c>
      <c r="C16" s="3735"/>
      <c r="D16" s="2905">
        <f>D6*E16</f>
        <v>0</v>
      </c>
      <c r="E16" s="2906"/>
      <c r="F16" s="2891" t="s">
        <v>2385</v>
      </c>
      <c r="G16" s="2870"/>
      <c r="H16" s="2845"/>
      <c r="I16" s="2846"/>
      <c r="J16" s="3724"/>
      <c r="K16" s="3726"/>
      <c r="L16" s="2880" t="s">
        <v>2386</v>
      </c>
      <c r="M16" s="2881"/>
      <c r="N16" s="2881"/>
      <c r="O16" s="2882"/>
      <c r="P16" s="2883">
        <v>365</v>
      </c>
      <c r="Q16" s="2857"/>
      <c r="R16" s="2904">
        <f>ROUND(M16*N16*O16*P16/10000,0)</f>
        <v>0</v>
      </c>
      <c r="S16" s="2838"/>
      <c r="T16" s="2838"/>
      <c r="U16" s="2838"/>
      <c r="V16" s="2846"/>
    </row>
    <row r="17" spans="1:22" s="2850" customFormat="1" ht="13.35" customHeight="1" thickBot="1">
      <c r="A17" s="2907">
        <v>4</v>
      </c>
      <c r="B17" s="3736" t="s">
        <v>2387</v>
      </c>
      <c r="C17" s="3737"/>
      <c r="D17" s="2908">
        <f>ROUND(D6*E17,0)</f>
        <v>0</v>
      </c>
      <c r="E17" s="2909"/>
      <c r="F17" s="2910" t="s">
        <v>2388</v>
      </c>
      <c r="G17" s="2870"/>
      <c r="H17" s="2845"/>
      <c r="I17" s="2846"/>
      <c r="J17" s="3724"/>
      <c r="K17" s="3726"/>
      <c r="L17" s="2880" t="s">
        <v>2389</v>
      </c>
      <c r="M17" s="2881"/>
      <c r="N17" s="2881"/>
      <c r="O17" s="2882"/>
      <c r="P17" s="2883">
        <v>365</v>
      </c>
      <c r="Q17" s="2857"/>
      <c r="R17" s="2904">
        <f>ROUND(M17*N17*O17*P17/10000,0)</f>
        <v>0</v>
      </c>
      <c r="S17" s="2838"/>
      <c r="T17" s="2838"/>
      <c r="U17" s="2838"/>
      <c r="V17" s="2846"/>
    </row>
    <row r="18" spans="1:22" s="2850" customFormat="1" ht="13.35" customHeight="1" thickBot="1">
      <c r="A18" s="2873" t="s">
        <v>2390</v>
      </c>
      <c r="B18" s="2874"/>
      <c r="C18" s="2874"/>
      <c r="D18" s="2911">
        <f>ROUND(D6*E18,0)</f>
        <v>0</v>
      </c>
      <c r="E18" s="2912"/>
      <c r="F18" s="2913" t="s">
        <v>2391</v>
      </c>
      <c r="G18" s="2870"/>
      <c r="H18" s="2845"/>
      <c r="I18" s="2846"/>
      <c r="J18" s="3724"/>
      <c r="K18" s="3726"/>
      <c r="L18" s="2880" t="s">
        <v>2392</v>
      </c>
      <c r="M18" s="2881"/>
      <c r="N18" s="2881"/>
      <c r="O18" s="2882"/>
      <c r="P18" s="2883">
        <v>365</v>
      </c>
      <c r="Q18" s="2857"/>
      <c r="R18" s="2904">
        <f>ROUND(M18*N18*O18*P18/10000,0)</f>
        <v>0</v>
      </c>
      <c r="S18" s="2838"/>
      <c r="T18" s="2838"/>
      <c r="U18" s="2838"/>
      <c r="V18" s="2846"/>
    </row>
    <row r="19" spans="1:22" s="2850" customFormat="1" ht="13.35" customHeight="1" thickBot="1">
      <c r="A19" s="2914" t="s">
        <v>2393</v>
      </c>
      <c r="B19" s="2868"/>
      <c r="C19" s="2868"/>
      <c r="D19" s="2868"/>
      <c r="E19" s="2868"/>
      <c r="F19" s="2869"/>
      <c r="G19" s="2889"/>
      <c r="H19" s="2845"/>
      <c r="I19" s="2846"/>
      <c r="J19" s="3724"/>
      <c r="K19" s="3727"/>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35" customHeight="1">
      <c r="A20" s="2873"/>
      <c r="B20" s="2874"/>
      <c r="C20" s="2874"/>
      <c r="D20" s="2874"/>
      <c r="E20" s="2874"/>
      <c r="F20" s="2917"/>
      <c r="G20" s="2889"/>
      <c r="H20" s="2845"/>
      <c r="I20" s="2846"/>
      <c r="J20" s="3724">
        <v>3</v>
      </c>
      <c r="K20" s="3725"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35" customHeight="1">
      <c r="A21" s="2873"/>
      <c r="B21" s="2874"/>
      <c r="C21" s="2920" t="s">
        <v>2402</v>
      </c>
      <c r="D21" s="2921" t="s">
        <v>2403</v>
      </c>
      <c r="E21" s="2922" t="s">
        <v>2404</v>
      </c>
      <c r="F21" s="2917"/>
      <c r="G21" s="2889"/>
      <c r="H21" s="2845"/>
      <c r="I21" s="2846"/>
      <c r="J21" s="3724"/>
      <c r="K21" s="3726"/>
      <c r="L21" s="2880" t="s">
        <v>2405</v>
      </c>
      <c r="M21" s="2881"/>
      <c r="N21" s="2881"/>
      <c r="O21" s="2882"/>
      <c r="P21" s="2883">
        <v>365</v>
      </c>
      <c r="Q21" s="2857"/>
      <c r="R21" s="2923">
        <f>ROUND(M21*N21*O21*P21/10000,0)</f>
        <v>0</v>
      </c>
      <c r="S21" s="2919"/>
      <c r="T21" s="2919"/>
      <c r="U21" s="2919"/>
      <c r="V21" s="2846"/>
    </row>
    <row r="22" spans="1:22" s="2850" customFormat="1" ht="13.35" customHeight="1">
      <c r="A22" s="2873"/>
      <c r="B22" s="2874"/>
      <c r="C22" s="2924" t="s">
        <v>2406</v>
      </c>
      <c r="D22" s="2925" t="s">
        <v>2407</v>
      </c>
      <c r="E22" s="2926" t="s">
        <v>2408</v>
      </c>
      <c r="F22" s="2917"/>
      <c r="G22" s="2927"/>
      <c r="H22" s="2845"/>
      <c r="I22" s="2846"/>
      <c r="J22" s="3724"/>
      <c r="K22" s="3726"/>
      <c r="L22" s="2880" t="s">
        <v>2409</v>
      </c>
      <c r="M22" s="2881"/>
      <c r="N22" s="2881"/>
      <c r="O22" s="2882"/>
      <c r="P22" s="2883">
        <v>365</v>
      </c>
      <c r="Q22" s="2857"/>
      <c r="R22" s="2923">
        <f>ROUND(M22*N22*O22*P22/10000,0)</f>
        <v>0</v>
      </c>
      <c r="S22" s="2919"/>
      <c r="T22" s="2919"/>
      <c r="U22" s="2919"/>
      <c r="V22" s="2846"/>
    </row>
    <row r="23" spans="1:22" s="2850" customFormat="1" ht="13.35" customHeight="1">
      <c r="A23" s="2928">
        <v>1</v>
      </c>
      <c r="B23" s="2929" t="s">
        <v>2410</v>
      </c>
      <c r="C23" s="2930">
        <f>D6</f>
        <v>0</v>
      </c>
      <c r="D23" s="2931">
        <f>C23*(1+D24)</f>
        <v>0</v>
      </c>
      <c r="E23" s="2932">
        <f>D23*(1+E24)</f>
        <v>0</v>
      </c>
      <c r="F23" s="2933"/>
      <c r="G23" s="2934"/>
      <c r="H23" s="2845"/>
      <c r="I23" s="2846"/>
      <c r="J23" s="3724"/>
      <c r="K23" s="3726"/>
      <c r="L23" s="2880" t="s">
        <v>2411</v>
      </c>
      <c r="M23" s="2881"/>
      <c r="N23" s="2881"/>
      <c r="O23" s="2882"/>
      <c r="P23" s="2883">
        <v>365</v>
      </c>
      <c r="Q23" s="2857"/>
      <c r="R23" s="2923">
        <f>ROUND(M23*N23*O23*P23/10000,0)</f>
        <v>0</v>
      </c>
      <c r="S23" s="2838"/>
      <c r="T23" s="2838"/>
      <c r="U23" s="2838"/>
      <c r="V23" s="2846"/>
    </row>
    <row r="24" spans="1:22" s="2850" customFormat="1" ht="13.35" customHeight="1">
      <c r="A24" s="2935"/>
      <c r="B24" s="2936" t="s">
        <v>2412</v>
      </c>
      <c r="C24" s="2937"/>
      <c r="D24" s="2938"/>
      <c r="E24" s="2939"/>
      <c r="F24" s="2940"/>
      <c r="G24" s="2934"/>
      <c r="H24" s="2845"/>
      <c r="I24" s="2846"/>
      <c r="J24" s="3724"/>
      <c r="K24" s="3727"/>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3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35" customHeight="1">
      <c r="A26" s="2928">
        <v>2</v>
      </c>
      <c r="B26" s="2929" t="s">
        <v>2414</v>
      </c>
      <c r="C26" s="2930">
        <f>D7</f>
        <v>0</v>
      </c>
      <c r="D26" s="2931">
        <f>D23*D27</f>
        <v>0</v>
      </c>
      <c r="E26" s="2932">
        <f>E23*E27</f>
        <v>0</v>
      </c>
      <c r="F26" s="2933"/>
      <c r="G26" s="2934"/>
      <c r="H26" s="2845"/>
      <c r="I26" s="2846"/>
      <c r="J26" s="3728">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35" customHeight="1">
      <c r="A27" s="2935"/>
      <c r="B27" s="2936" t="s">
        <v>2420</v>
      </c>
      <c r="C27" s="2954" t="e">
        <f>E7</f>
        <v>#DIV/0!</v>
      </c>
      <c r="D27" s="2938"/>
      <c r="E27" s="2939"/>
      <c r="F27" s="2940"/>
      <c r="G27" s="2934"/>
      <c r="H27" s="2955"/>
      <c r="I27" s="2946"/>
      <c r="J27" s="3729"/>
      <c r="K27" s="2956"/>
      <c r="L27" s="2957"/>
      <c r="M27" s="2958"/>
      <c r="N27" s="2959"/>
      <c r="O27" s="2959"/>
      <c r="P27" s="2959"/>
      <c r="Q27" s="2960"/>
      <c r="R27" s="2916">
        <f>ROUND(O27*N27*P27*(1-Q27)/10000,0)</f>
        <v>0</v>
      </c>
      <c r="S27" s="2838"/>
      <c r="T27" s="2838"/>
      <c r="U27" s="2838"/>
      <c r="V27" s="2846"/>
    </row>
    <row r="28" spans="1:22" s="2947" customFormat="1" ht="13.3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3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3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3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35" customHeight="1">
      <c r="A32" s="2928">
        <v>4</v>
      </c>
      <c r="B32" s="2929" t="s">
        <v>2428</v>
      </c>
      <c r="C32" s="2930">
        <f>C23-C26-C29</f>
        <v>0</v>
      </c>
      <c r="D32" s="2931">
        <f>D23-D26-D29</f>
        <v>0</v>
      </c>
      <c r="E32" s="2932">
        <f>E23-E26-E29</f>
        <v>0</v>
      </c>
      <c r="F32" s="2933"/>
      <c r="G32" s="2927"/>
      <c r="H32" s="2845"/>
      <c r="I32" s="2846"/>
      <c r="J32" s="3730" t="s">
        <v>2320</v>
      </c>
      <c r="K32" s="3731"/>
      <c r="L32" s="2847" t="s">
        <v>2321</v>
      </c>
      <c r="M32" s="2847" t="s">
        <v>2322</v>
      </c>
      <c r="N32" s="2847" t="s">
        <v>2323</v>
      </c>
      <c r="O32" s="2847" t="s">
        <v>2324</v>
      </c>
      <c r="P32" s="2847" t="s">
        <v>2325</v>
      </c>
      <c r="Q32" s="2848" t="s">
        <v>2326</v>
      </c>
      <c r="R32" s="2970" t="s">
        <v>2327</v>
      </c>
      <c r="S32" s="2919"/>
      <c r="T32" s="2838"/>
      <c r="U32" s="2838"/>
      <c r="V32" s="2946"/>
    </row>
    <row r="33" spans="1:23" s="2850" customFormat="1" ht="13.35" customHeight="1">
      <c r="A33" s="2928"/>
      <c r="B33" s="2929"/>
      <c r="C33" s="2930"/>
      <c r="D33" s="2971"/>
      <c r="E33" s="2972"/>
      <c r="F33" s="2933"/>
      <c r="G33" s="2927"/>
      <c r="H33" s="2955"/>
      <c r="I33" s="2946"/>
      <c r="J33" s="3732" t="s">
        <v>2330</v>
      </c>
      <c r="K33" s="3733"/>
      <c r="L33" s="2853"/>
      <c r="M33" s="2853"/>
      <c r="N33" s="2853"/>
      <c r="O33" s="2853"/>
      <c r="P33" s="2853"/>
      <c r="Q33" s="2854"/>
      <c r="R33" s="2973">
        <f>SUM(L33:Q33)</f>
        <v>0</v>
      </c>
      <c r="S33" s="2919"/>
      <c r="T33" s="2838"/>
      <c r="U33" s="2838"/>
      <c r="V33" s="2846"/>
    </row>
    <row r="34" spans="1:23" s="2850" customFormat="1" ht="13.35" customHeight="1">
      <c r="A34" s="2928">
        <v>5</v>
      </c>
      <c r="B34" s="2929" t="s">
        <v>2429</v>
      </c>
      <c r="C34" s="2974"/>
      <c r="D34" s="2975"/>
      <c r="E34" s="2976"/>
      <c r="F34" s="2933"/>
      <c r="G34" s="2927"/>
      <c r="H34" s="2955"/>
      <c r="I34" s="2946"/>
      <c r="J34" s="3732" t="s">
        <v>2332</v>
      </c>
      <c r="K34" s="3733"/>
      <c r="L34" s="2858"/>
      <c r="M34" s="2858"/>
      <c r="N34" s="2858"/>
      <c r="O34" s="2858"/>
      <c r="P34" s="2858"/>
      <c r="Q34" s="2859"/>
      <c r="R34" s="2977">
        <f>SUM(L34:Q34)</f>
        <v>0</v>
      </c>
      <c r="S34" s="2919"/>
      <c r="T34" s="2838"/>
      <c r="U34" s="2838" t="e">
        <f>ROUND(R35*10000/365/R33,1)</f>
        <v>#DIV/0!</v>
      </c>
      <c r="V34" s="2846"/>
    </row>
    <row r="35" spans="1:23" s="2850" customFormat="1" ht="13.3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35" customHeight="1" thickBot="1">
      <c r="A36" s="2928">
        <v>7</v>
      </c>
      <c r="B36" s="2983" t="s">
        <v>2431</v>
      </c>
      <c r="C36" s="2984"/>
      <c r="D36" s="2985"/>
      <c r="E36" s="2986"/>
      <c r="F36" s="2987">
        <f>C36+D36+E36</f>
        <v>0</v>
      </c>
      <c r="G36" s="2927"/>
      <c r="H36" s="2845"/>
      <c r="I36" s="2846"/>
      <c r="J36" s="3724">
        <v>1</v>
      </c>
      <c r="K36" s="3725" t="s">
        <v>2432</v>
      </c>
      <c r="L36" s="2871"/>
      <c r="M36" s="2872"/>
      <c r="N36" s="2872"/>
      <c r="O36" s="2872"/>
      <c r="P36" s="2872"/>
      <c r="Q36" s="2872"/>
      <c r="R36" s="2855" t="s">
        <v>2344</v>
      </c>
      <c r="S36" s="2919"/>
      <c r="T36" s="2838" t="s">
        <v>2345</v>
      </c>
      <c r="U36" s="2838"/>
      <c r="V36" s="2846"/>
    </row>
    <row r="37" spans="1:23" s="2850" customFormat="1" ht="13.35" customHeight="1">
      <c r="A37" s="2928"/>
      <c r="B37" s="2929"/>
      <c r="C37" s="2929"/>
      <c r="D37" s="2929"/>
      <c r="E37" s="2929"/>
      <c r="F37" s="2933"/>
      <c r="G37" s="2927"/>
      <c r="H37" s="2845"/>
      <c r="I37" s="2846"/>
      <c r="J37" s="3724"/>
      <c r="K37" s="3726"/>
      <c r="L37" s="2880"/>
      <c r="M37" s="2881"/>
      <c r="N37" s="2857"/>
      <c r="O37" s="2882"/>
      <c r="P37" s="2882"/>
      <c r="Q37" s="2883"/>
      <c r="R37" s="2884"/>
      <c r="S37" s="2919"/>
      <c r="T37" s="2838" t="s">
        <v>2348</v>
      </c>
      <c r="U37" s="2838"/>
      <c r="V37" s="2846"/>
    </row>
    <row r="38" spans="1:23" s="2850" customFormat="1" ht="13.35" customHeight="1">
      <c r="A38" s="2928">
        <v>8</v>
      </c>
      <c r="B38" s="2929"/>
      <c r="C38" s="2886" t="e">
        <f>ROUND(C32*(1-((1+C35)/(1+C34))^C36)/(C34-C35),0)</f>
        <v>#DIV/0!</v>
      </c>
      <c r="D38" s="2886">
        <f>IF(D23=0,0,ROUND(D32*(1-((1+D35)/(1+D34))^D36)/(D34-D35),0))</f>
        <v>0</v>
      </c>
      <c r="E38" s="2886">
        <f>IF(E23=0,0,ROUND(E32*(1-((1+E35)/(1+E34))^E36)/(E34-E35),0))</f>
        <v>0</v>
      </c>
      <c r="F38" s="2933"/>
      <c r="G38" s="2927"/>
      <c r="H38" s="2845"/>
      <c r="I38" s="2846"/>
      <c r="J38" s="3724"/>
      <c r="K38" s="3726"/>
      <c r="L38" s="2880"/>
      <c r="M38" s="2881"/>
      <c r="N38" s="2857"/>
      <c r="O38" s="2882"/>
      <c r="P38" s="2882"/>
      <c r="Q38" s="2883"/>
      <c r="R38" s="2884"/>
      <c r="S38" s="2919"/>
      <c r="T38" s="2838" t="s">
        <v>2355</v>
      </c>
      <c r="U38" s="2838"/>
      <c r="V38" s="2846"/>
    </row>
    <row r="39" spans="1:23" s="2850" customFormat="1" ht="13.35" customHeight="1">
      <c r="A39" s="2928">
        <v>9</v>
      </c>
      <c r="B39" s="2929" t="s">
        <v>2433</v>
      </c>
      <c r="C39" s="2894" t="e">
        <f>C38</f>
        <v>#DIV/0!</v>
      </c>
      <c r="D39" s="2929">
        <f>D38/(1+D34)^C36</f>
        <v>0</v>
      </c>
      <c r="E39" s="2929">
        <f>E38/(1+E34)^(C36+D36)</f>
        <v>0</v>
      </c>
      <c r="F39" s="2933"/>
      <c r="G39" s="2988"/>
      <c r="H39" s="2845"/>
      <c r="I39" s="2846"/>
      <c r="J39" s="3724"/>
      <c r="K39" s="3726"/>
      <c r="L39" s="2880"/>
      <c r="M39" s="2881"/>
      <c r="N39" s="2857"/>
      <c r="O39" s="2882"/>
      <c r="P39" s="2882"/>
      <c r="Q39" s="2883"/>
      <c r="R39" s="2884"/>
      <c r="S39" s="2919"/>
      <c r="T39" s="2838"/>
      <c r="U39" s="2838"/>
      <c r="V39" s="2846"/>
    </row>
    <row r="40" spans="1:23" s="2850" customFormat="1" ht="13.35" customHeight="1">
      <c r="A40" s="2989">
        <v>10</v>
      </c>
      <c r="B40" s="2929" t="s">
        <v>2434</v>
      </c>
      <c r="C40" s="2990" t="e">
        <f>C39+D39+E39</f>
        <v>#DIV/0!</v>
      </c>
      <c r="D40" s="2991"/>
      <c r="E40" s="2991"/>
      <c r="F40" s="2992"/>
      <c r="G40" s="2927"/>
      <c r="H40" s="2845"/>
      <c r="I40" s="2846"/>
      <c r="J40" s="3724"/>
      <c r="K40" s="3727"/>
      <c r="L40" s="2900" t="s">
        <v>2373</v>
      </c>
      <c r="M40" s="2901"/>
      <c r="N40" s="2901"/>
      <c r="O40" s="2902"/>
      <c r="P40" s="2902"/>
      <c r="Q40" s="2903"/>
      <c r="R40" s="2849">
        <f>SUM(R37:R39)</f>
        <v>0</v>
      </c>
      <c r="S40" s="2919"/>
      <c r="T40" s="2838"/>
      <c r="U40" s="2838"/>
      <c r="V40" s="2846"/>
    </row>
    <row r="41" spans="1:23" s="2850" customFormat="1" ht="13.3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35" customHeight="1">
      <c r="G42" s="2997"/>
      <c r="H42" s="2845"/>
      <c r="I42" s="2846"/>
      <c r="J42" s="3728">
        <v>3</v>
      </c>
      <c r="K42" s="2948" t="s">
        <v>2415</v>
      </c>
      <c r="L42" s="2949"/>
      <c r="M42" s="2950"/>
      <c r="N42" s="2951" t="s">
        <v>2416</v>
      </c>
      <c r="O42" s="2951" t="s">
        <v>2417</v>
      </c>
      <c r="P42" s="2952" t="s">
        <v>2418</v>
      </c>
      <c r="Q42" s="2952" t="s">
        <v>2419</v>
      </c>
      <c r="R42" s="2855" t="s">
        <v>2344</v>
      </c>
      <c r="S42" s="2953"/>
      <c r="T42" s="2953"/>
      <c r="U42" s="2838"/>
      <c r="V42" s="2846"/>
    </row>
    <row r="43" spans="1:23" ht="13.35" customHeight="1">
      <c r="A43" s="2850"/>
      <c r="B43" s="2850"/>
      <c r="C43" s="2850"/>
      <c r="D43" s="2850"/>
      <c r="E43" s="2850"/>
      <c r="F43" s="2850"/>
      <c r="I43" s="2833"/>
      <c r="J43" s="3729"/>
      <c r="K43" s="2956"/>
      <c r="L43" s="2957"/>
      <c r="M43" s="2958"/>
      <c r="N43" s="2881"/>
      <c r="O43" s="2881"/>
      <c r="P43" s="2881"/>
      <c r="Q43" s="2945"/>
      <c r="R43" s="2916">
        <f>ROUND(O43*N43*P43*(1-Q43)/10000,0)</f>
        <v>0</v>
      </c>
      <c r="S43" s="2919"/>
      <c r="T43" s="2838"/>
      <c r="V43" s="2999"/>
      <c r="W43" s="3000"/>
    </row>
    <row r="44" spans="1:23" ht="13.3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356.37020000000001</v>
      </c>
      <c r="C2" s="1871" t="s">
        <v>1651</v>
      </c>
      <c r="D2" s="1872" t="s">
        <v>1652</v>
      </c>
      <c r="E2" s="2604">
        <f>SUM(E6:E13)</f>
        <v>56.8</v>
      </c>
      <c r="F2" s="2704"/>
      <c r="G2" s="1488"/>
      <c r="H2" s="1488"/>
      <c r="I2" s="1488"/>
      <c r="J2" s="1488"/>
      <c r="K2" s="1488"/>
      <c r="L2" s="1488"/>
      <c r="M2" s="1488"/>
      <c r="N2" s="1488"/>
      <c r="O2" s="1488"/>
      <c r="P2" s="1488"/>
      <c r="Q2" s="1488"/>
      <c r="R2" s="1488"/>
      <c r="S2" s="1488"/>
    </row>
    <row r="3" spans="1:22" ht="15.75">
      <c r="A3" s="1869" t="s">
        <v>686</v>
      </c>
      <c r="B3" s="2598">
        <f ca="1">ROUND(B2*10000/E2,0)</f>
        <v>62741</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743" t="s">
        <v>1654</v>
      </c>
      <c r="C5" s="3744"/>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 (元)</v>
      </c>
      <c r="B6" s="2599">
        <f ca="1">IF(F6="是",'数据-取费表'!AO6,0)</f>
        <v>356.37020000000001</v>
      </c>
      <c r="C6" s="1871" t="s">
        <v>1651</v>
      </c>
      <c r="D6" s="2706"/>
      <c r="E6" s="2603">
        <f>IF(OR(A6=0,F6="否"),0,'数据-取费表'!K6+'数据-取费表'!S6)</f>
        <v>56.8</v>
      </c>
      <c r="F6" s="1875"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625" style="357" customWidth="1"/>
    <col min="3" max="3" width="15.1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1913"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56.8</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ht="15">
      <c r="A4" s="355" t="s">
        <v>1769</v>
      </c>
      <c r="B4" s="356"/>
      <c r="C4" s="3694" t="s">
        <v>1770</v>
      </c>
      <c r="D4" s="3695"/>
      <c r="E4" s="3696" t="s">
        <v>1771</v>
      </c>
      <c r="F4" s="3697"/>
      <c r="G4" s="3694" t="s">
        <v>1772</v>
      </c>
      <c r="H4" s="3695"/>
      <c r="I4" s="3694" t="s">
        <v>1773</v>
      </c>
      <c r="J4" s="3695"/>
      <c r="K4" s="559" t="s">
        <v>1774</v>
      </c>
      <c r="L4" s="2712"/>
      <c r="M4" s="2713"/>
      <c r="N4" s="2713"/>
      <c r="O4" s="2713"/>
      <c r="P4" s="3698" t="s">
        <v>1775</v>
      </c>
      <c r="Q4" s="3699"/>
      <c r="R4" s="3704" t="s">
        <v>1771</v>
      </c>
      <c r="S4" s="3705"/>
      <c r="T4" s="3704" t="s">
        <v>1772</v>
      </c>
      <c r="U4" s="3705"/>
      <c r="V4" s="3710" t="s">
        <v>1773</v>
      </c>
      <c r="W4" s="3710"/>
      <c r="X4" s="1354"/>
      <c r="Y4" s="3704" t="s">
        <v>1775</v>
      </c>
      <c r="Z4" s="3705"/>
      <c r="AA4" s="3691" t="s">
        <v>1771</v>
      </c>
      <c r="AB4" s="3710" t="s">
        <v>1772</v>
      </c>
      <c r="AC4" s="3691" t="s">
        <v>1773</v>
      </c>
    </row>
    <row r="5" spans="1:29" ht="15">
      <c r="A5" s="358"/>
      <c r="B5" s="359"/>
      <c r="C5" s="3713" t="s">
        <v>1673</v>
      </c>
      <c r="D5" s="3714"/>
      <c r="E5" s="3722" t="s">
        <v>1674</v>
      </c>
      <c r="F5" s="3723"/>
      <c r="G5" s="3713" t="s">
        <v>1675</v>
      </c>
      <c r="H5" s="3714"/>
      <c r="I5" s="3713" t="s">
        <v>1676</v>
      </c>
      <c r="J5" s="3714"/>
      <c r="K5" s="559"/>
      <c r="L5" s="2712"/>
      <c r="M5" s="2713"/>
      <c r="N5" s="2713"/>
      <c r="O5" s="2713"/>
      <c r="P5" s="3700"/>
      <c r="Q5" s="3701"/>
      <c r="R5" s="3706"/>
      <c r="S5" s="3707"/>
      <c r="T5" s="3706"/>
      <c r="U5" s="3707"/>
      <c r="V5" s="3710"/>
      <c r="W5" s="3710"/>
      <c r="X5" s="1354"/>
      <c r="Y5" s="3706"/>
      <c r="Z5" s="3707"/>
      <c r="AA5" s="3692"/>
      <c r="AB5" s="3710"/>
      <c r="AC5" s="3692"/>
    </row>
    <row r="6" spans="1:29" ht="15.75" thickBot="1">
      <c r="A6" s="360"/>
      <c r="B6" s="361"/>
      <c r="C6" s="3711" t="s">
        <v>1677</v>
      </c>
      <c r="D6" s="3712"/>
      <c r="E6" s="3720" t="s">
        <v>1677</v>
      </c>
      <c r="F6" s="3721"/>
      <c r="G6" s="3711" t="s">
        <v>1677</v>
      </c>
      <c r="H6" s="3712"/>
      <c r="I6" s="3711" t="s">
        <v>1677</v>
      </c>
      <c r="J6" s="3712"/>
      <c r="K6" s="559" t="s">
        <v>1678</v>
      </c>
      <c r="L6" s="2712"/>
      <c r="M6" s="2713"/>
      <c r="N6" s="2713"/>
      <c r="O6" s="2713"/>
      <c r="P6" s="3702"/>
      <c r="Q6" s="3703"/>
      <c r="R6" s="3706"/>
      <c r="S6" s="3707"/>
      <c r="T6" s="3708"/>
      <c r="U6" s="3709"/>
      <c r="V6" s="3710"/>
      <c r="W6" s="3710"/>
      <c r="X6" s="1354"/>
      <c r="Y6" s="3708"/>
      <c r="Z6" s="3709"/>
      <c r="AA6" s="3693"/>
      <c r="AB6" s="3710"/>
      <c r="AC6" s="3693"/>
    </row>
    <row r="7" spans="1:29" s="108" customFormat="1" ht="15.75" thickBot="1">
      <c r="A7" s="362" t="s">
        <v>1679</v>
      </c>
      <c r="B7" s="363"/>
      <c r="C7" s="364">
        <f>'数据-取费表'!B2</f>
        <v>45131</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15" t="s">
        <v>1683</v>
      </c>
      <c r="Q8" s="3716"/>
      <c r="R8" s="701" t="s">
        <v>14</v>
      </c>
      <c r="S8" s="702">
        <f t="shared" si="0"/>
        <v>100</v>
      </c>
      <c r="T8" s="701" t="s">
        <v>14</v>
      </c>
      <c r="U8" s="702">
        <f t="shared" si="1"/>
        <v>100</v>
      </c>
      <c r="V8" s="701" t="s">
        <v>14</v>
      </c>
      <c r="W8" s="702">
        <f t="shared" si="2"/>
        <v>100</v>
      </c>
      <c r="X8" s="703"/>
      <c r="Y8" s="3715" t="s">
        <v>1683</v>
      </c>
      <c r="Z8" s="371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90"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90"/>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90"/>
      <c r="Q11" s="1342"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0"/>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0"/>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0"/>
      <c r="Q14" s="1342">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88" t="s">
        <v>1691</v>
      </c>
      <c r="Q15" s="1351" t="str">
        <f t="shared" si="6"/>
        <v>商业繁华度</v>
      </c>
      <c r="R15" s="705" t="s">
        <v>14</v>
      </c>
      <c r="S15" s="706">
        <f t="shared" si="0"/>
        <v>100</v>
      </c>
      <c r="T15" s="705" t="s">
        <v>14</v>
      </c>
      <c r="U15" s="706">
        <f t="shared" si="1"/>
        <v>100</v>
      </c>
      <c r="V15" s="705" t="s">
        <v>14</v>
      </c>
      <c r="W15" s="706">
        <f t="shared" si="2"/>
        <v>100</v>
      </c>
      <c r="X15" s="1354"/>
      <c r="Y15" s="368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689"/>
      <c r="Q16" s="1351"/>
      <c r="R16" s="705"/>
      <c r="S16" s="706"/>
      <c r="T16" s="705"/>
      <c r="U16" s="706"/>
      <c r="V16" s="705"/>
      <c r="W16" s="706"/>
      <c r="X16" s="1354"/>
      <c r="Y16" s="368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89"/>
      <c r="Q17" s="1351" t="str">
        <f>B17</f>
        <v>交通便捷度</v>
      </c>
      <c r="R17" s="705" t="s">
        <v>14</v>
      </c>
      <c r="S17" s="706">
        <f>F17</f>
        <v>100</v>
      </c>
      <c r="T17" s="705" t="s">
        <v>14</v>
      </c>
      <c r="U17" s="706">
        <f>H17</f>
        <v>100</v>
      </c>
      <c r="V17" s="705" t="s">
        <v>14</v>
      </c>
      <c r="W17" s="706">
        <f>J17</f>
        <v>100</v>
      </c>
      <c r="X17" s="1354"/>
      <c r="Y17" s="368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689"/>
      <c r="Q18" s="1351"/>
      <c r="R18" s="705"/>
      <c r="S18" s="706"/>
      <c r="T18" s="705"/>
      <c r="U18" s="706"/>
      <c r="V18" s="705"/>
      <c r="W18" s="706"/>
      <c r="X18" s="1354"/>
      <c r="Y18" s="368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89"/>
      <c r="Q19" s="1351" t="str">
        <f>B19</f>
        <v>公共配套设施</v>
      </c>
      <c r="R19" s="705" t="s">
        <v>14</v>
      </c>
      <c r="S19" s="706">
        <f>F19</f>
        <v>100</v>
      </c>
      <c r="T19" s="705" t="s">
        <v>14</v>
      </c>
      <c r="U19" s="706">
        <f>H19</f>
        <v>100</v>
      </c>
      <c r="V19" s="705" t="s">
        <v>14</v>
      </c>
      <c r="W19" s="706">
        <f>J19</f>
        <v>100</v>
      </c>
      <c r="X19" s="1354"/>
      <c r="Y19" s="368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689"/>
      <c r="Q20" s="1351"/>
      <c r="R20" s="705"/>
      <c r="S20" s="706"/>
      <c r="T20" s="705"/>
      <c r="U20" s="706"/>
      <c r="V20" s="705"/>
      <c r="W20" s="706"/>
      <c r="X20" s="1354"/>
      <c r="Y20" s="3682"/>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89"/>
      <c r="Q21" s="1351" t="str">
        <f>B21</f>
        <v>基础设施水平</v>
      </c>
      <c r="R21" s="705" t="s">
        <v>14</v>
      </c>
      <c r="S21" s="706">
        <f>F21</f>
        <v>100</v>
      </c>
      <c r="T21" s="705" t="s">
        <v>14</v>
      </c>
      <c r="U21" s="706">
        <f>H21</f>
        <v>100</v>
      </c>
      <c r="V21" s="705" t="s">
        <v>14</v>
      </c>
      <c r="W21" s="706">
        <f>J21</f>
        <v>100</v>
      </c>
      <c r="X21" s="1354"/>
      <c r="Y21" s="368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9"/>
      <c r="M22" s="2713"/>
      <c r="N22" s="2713"/>
      <c r="O22" s="2713"/>
      <c r="P22" s="3689"/>
      <c r="Q22" s="1351"/>
      <c r="R22" s="705"/>
      <c r="S22" s="706"/>
      <c r="T22" s="705"/>
      <c r="U22" s="706"/>
      <c r="V22" s="705"/>
      <c r="W22" s="706"/>
      <c r="X22" s="1354"/>
      <c r="Y22" s="3682"/>
      <c r="Z22" s="1355"/>
      <c r="AA22" s="1352">
        <v>1</v>
      </c>
      <c r="AB22" s="1352">
        <v>1</v>
      </c>
      <c r="AC22" s="1352">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89"/>
      <c r="Q23" s="1351" t="str">
        <f>B23</f>
        <v>自然及人文环境</v>
      </c>
      <c r="R23" s="705" t="s">
        <v>14</v>
      </c>
      <c r="S23" s="706">
        <f>F23</f>
        <v>100</v>
      </c>
      <c r="T23" s="705" t="s">
        <v>14</v>
      </c>
      <c r="U23" s="706">
        <f>H23</f>
        <v>100</v>
      </c>
      <c r="V23" s="705" t="s">
        <v>14</v>
      </c>
      <c r="W23" s="706">
        <f>J23</f>
        <v>100</v>
      </c>
      <c r="X23" s="1354"/>
      <c r="Y23" s="368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689"/>
      <c r="Q24" s="1351"/>
      <c r="R24" s="705"/>
      <c r="S24" s="706"/>
      <c r="T24" s="705"/>
      <c r="U24" s="706"/>
      <c r="V24" s="705"/>
      <c r="W24" s="706"/>
      <c r="X24" s="1354"/>
      <c r="Y24" s="368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89"/>
      <c r="Q25" s="1351" t="str">
        <f t="shared" ref="Q25:Q46" si="11">B25</f>
        <v>临街状况</v>
      </c>
      <c r="R25" s="705" t="s">
        <v>14</v>
      </c>
      <c r="S25" s="706">
        <f>F25</f>
        <v>100</v>
      </c>
      <c r="T25" s="705" t="s">
        <v>14</v>
      </c>
      <c r="U25" s="706">
        <f>H25</f>
        <v>100</v>
      </c>
      <c r="V25" s="705" t="s">
        <v>14</v>
      </c>
      <c r="W25" s="706">
        <f>J25</f>
        <v>100</v>
      </c>
      <c r="X25" s="1354"/>
      <c r="Y25" s="3682"/>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89"/>
      <c r="Q26" s="1351" t="str">
        <f t="shared" si="11"/>
        <v>平面位置/可视性</v>
      </c>
      <c r="R26" s="705" t="s">
        <v>14</v>
      </c>
      <c r="S26" s="706">
        <f>F26</f>
        <v>100</v>
      </c>
      <c r="T26" s="705" t="s">
        <v>14</v>
      </c>
      <c r="U26" s="706">
        <f>H26</f>
        <v>100</v>
      </c>
      <c r="V26" s="705" t="s">
        <v>14</v>
      </c>
      <c r="W26" s="706">
        <f>J26</f>
        <v>100</v>
      </c>
      <c r="X26" s="1354"/>
      <c r="Y26" s="3682"/>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89"/>
      <c r="Q27" s="1342" t="str">
        <f t="shared" si="11"/>
        <v>人流量</v>
      </c>
      <c r="R27" s="701" t="s">
        <v>14</v>
      </c>
      <c r="S27" s="702">
        <f>F27</f>
        <v>100</v>
      </c>
      <c r="T27" s="701" t="s">
        <v>14</v>
      </c>
      <c r="U27" s="702">
        <f>H27</f>
        <v>100</v>
      </c>
      <c r="V27" s="701" t="s">
        <v>14</v>
      </c>
      <c r="W27" s="702">
        <f>J27</f>
        <v>100</v>
      </c>
      <c r="X27" s="703"/>
      <c r="Y27" s="368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8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82"/>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9"/>
      <c r="Q29" s="1351">
        <f t="shared" si="11"/>
        <v>111</v>
      </c>
      <c r="R29" s="705" t="s">
        <v>14</v>
      </c>
      <c r="S29" s="706">
        <f t="shared" si="12"/>
        <v>100</v>
      </c>
      <c r="T29" s="705" t="s">
        <v>14</v>
      </c>
      <c r="U29" s="706">
        <f t="shared" si="13"/>
        <v>100</v>
      </c>
      <c r="V29" s="705" t="s">
        <v>14</v>
      </c>
      <c r="W29" s="706">
        <f t="shared" si="14"/>
        <v>100</v>
      </c>
      <c r="X29" s="1354"/>
      <c r="Y29" s="3682"/>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9"/>
      <c r="Q30" s="1351">
        <f t="shared" si="11"/>
        <v>111</v>
      </c>
      <c r="R30" s="705" t="s">
        <v>14</v>
      </c>
      <c r="S30" s="706">
        <f t="shared" si="12"/>
        <v>100</v>
      </c>
      <c r="T30" s="705" t="s">
        <v>14</v>
      </c>
      <c r="U30" s="706">
        <f t="shared" si="13"/>
        <v>100</v>
      </c>
      <c r="V30" s="705" t="s">
        <v>14</v>
      </c>
      <c r="W30" s="706">
        <f t="shared" si="14"/>
        <v>100</v>
      </c>
      <c r="X30" s="1354"/>
      <c r="Y30" s="3682"/>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9"/>
      <c r="Q31" s="1351">
        <f t="shared" si="11"/>
        <v>111</v>
      </c>
      <c r="R31" s="705" t="s">
        <v>14</v>
      </c>
      <c r="S31" s="706">
        <f t="shared" si="12"/>
        <v>100</v>
      </c>
      <c r="T31" s="705" t="s">
        <v>14</v>
      </c>
      <c r="U31" s="706">
        <f t="shared" si="13"/>
        <v>100</v>
      </c>
      <c r="V31" s="705" t="s">
        <v>14</v>
      </c>
      <c r="W31" s="706">
        <f t="shared" si="14"/>
        <v>100</v>
      </c>
      <c r="X31" s="1354"/>
      <c r="Y31" s="368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683" t="s">
        <v>1696</v>
      </c>
      <c r="Q32" s="1351" t="str">
        <f t="shared" si="11"/>
        <v>商业类型</v>
      </c>
      <c r="R32" s="705" t="s">
        <v>14</v>
      </c>
      <c r="S32" s="706">
        <f t="shared" si="12"/>
        <v>100</v>
      </c>
      <c r="T32" s="705" t="s">
        <v>14</v>
      </c>
      <c r="U32" s="706">
        <f t="shared" si="13"/>
        <v>100</v>
      </c>
      <c r="V32" s="705" t="s">
        <v>14</v>
      </c>
      <c r="W32" s="706">
        <f t="shared" si="14"/>
        <v>100</v>
      </c>
      <c r="X32" s="1354"/>
      <c r="Y32" s="368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84"/>
      <c r="Q33" s="707" t="str">
        <f t="shared" si="11"/>
        <v>项目建筑规模</v>
      </c>
      <c r="R33" s="708" t="s">
        <v>14</v>
      </c>
      <c r="S33" s="709" t="e">
        <f t="shared" si="12"/>
        <v>#N/A</v>
      </c>
      <c r="T33" s="708" t="s">
        <v>14</v>
      </c>
      <c r="U33" s="709" t="e">
        <f t="shared" si="13"/>
        <v>#N/A</v>
      </c>
      <c r="V33" s="708" t="s">
        <v>14</v>
      </c>
      <c r="W33" s="709" t="e">
        <f t="shared" si="14"/>
        <v>#N/A</v>
      </c>
      <c r="X33" s="710"/>
      <c r="Y33" s="3686"/>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684"/>
      <c r="Q34" s="1351" t="str">
        <f t="shared" si="11"/>
        <v>建筑结构</v>
      </c>
      <c r="R34" s="705" t="s">
        <v>14</v>
      </c>
      <c r="S34" s="706">
        <f t="shared" si="12"/>
        <v>100</v>
      </c>
      <c r="T34" s="705" t="s">
        <v>14</v>
      </c>
      <c r="U34" s="706">
        <f t="shared" si="13"/>
        <v>100</v>
      </c>
      <c r="V34" s="705" t="s">
        <v>14</v>
      </c>
      <c r="W34" s="706">
        <f t="shared" si="14"/>
        <v>100</v>
      </c>
      <c r="X34" s="1354"/>
      <c r="Y34" s="368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684"/>
      <c r="Q35" s="1351" t="str">
        <f t="shared" si="11"/>
        <v>公共部分装修</v>
      </c>
      <c r="R35" s="705" t="s">
        <v>14</v>
      </c>
      <c r="S35" s="706">
        <f t="shared" si="12"/>
        <v>100</v>
      </c>
      <c r="T35" s="705" t="s">
        <v>14</v>
      </c>
      <c r="U35" s="706">
        <f t="shared" si="13"/>
        <v>100</v>
      </c>
      <c r="V35" s="705" t="s">
        <v>14</v>
      </c>
      <c r="W35" s="706">
        <f t="shared" si="14"/>
        <v>100</v>
      </c>
      <c r="X35" s="1354"/>
      <c r="Y35" s="368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84"/>
      <c r="Q36" s="1351" t="str">
        <f t="shared" si="11"/>
        <v>成新度</v>
      </c>
      <c r="R36" s="705" t="s">
        <v>14</v>
      </c>
      <c r="S36" s="706" t="e">
        <f t="shared" si="12"/>
        <v>#N/A</v>
      </c>
      <c r="T36" s="705" t="s">
        <v>14</v>
      </c>
      <c r="U36" s="706" t="e">
        <f t="shared" si="13"/>
        <v>#N/A</v>
      </c>
      <c r="V36" s="705" t="s">
        <v>14</v>
      </c>
      <c r="W36" s="706" t="e">
        <f t="shared" si="14"/>
        <v>#N/A</v>
      </c>
      <c r="X36" s="1354"/>
      <c r="Y36" s="368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684"/>
      <c r="Q37" s="1342" t="str">
        <f t="shared" si="11"/>
        <v>市政基础设施</v>
      </c>
      <c r="R37" s="701" t="s">
        <v>14</v>
      </c>
      <c r="S37" s="702">
        <f t="shared" si="12"/>
        <v>100</v>
      </c>
      <c r="T37" s="701" t="s">
        <v>14</v>
      </c>
      <c r="U37" s="702">
        <f t="shared" si="13"/>
        <v>100</v>
      </c>
      <c r="V37" s="701" t="s">
        <v>14</v>
      </c>
      <c r="W37" s="702">
        <f t="shared" si="14"/>
        <v>100</v>
      </c>
      <c r="X37" s="703"/>
      <c r="Y37" s="368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684" t="s">
        <v>1696</v>
      </c>
      <c r="Q38" s="1351" t="str">
        <f t="shared" si="11"/>
        <v>业态</v>
      </c>
      <c r="R38" s="705" t="s">
        <v>14</v>
      </c>
      <c r="S38" s="706">
        <f t="shared" si="12"/>
        <v>100</v>
      </c>
      <c r="T38" s="705" t="s">
        <v>14</v>
      </c>
      <c r="U38" s="706">
        <f t="shared" si="13"/>
        <v>100</v>
      </c>
      <c r="V38" s="705" t="s">
        <v>14</v>
      </c>
      <c r="W38" s="706">
        <f t="shared" si="14"/>
        <v>100</v>
      </c>
      <c r="X38" s="1354"/>
      <c r="Y38" s="368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684"/>
      <c r="Q39" s="1351" t="str">
        <f t="shared" si="11"/>
        <v>层高</v>
      </c>
      <c r="R39" s="705" t="s">
        <v>14</v>
      </c>
      <c r="S39" s="706">
        <f t="shared" si="12"/>
        <v>100</v>
      </c>
      <c r="T39" s="705" t="s">
        <v>14</v>
      </c>
      <c r="U39" s="706">
        <f t="shared" si="13"/>
        <v>100</v>
      </c>
      <c r="V39" s="705" t="s">
        <v>14</v>
      </c>
      <c r="W39" s="706">
        <f t="shared" si="14"/>
        <v>100</v>
      </c>
      <c r="X39" s="1354"/>
      <c r="Y39" s="368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84"/>
      <c r="Q40" s="1351" t="str">
        <f t="shared" si="11"/>
        <v>单套建筑面积</v>
      </c>
      <c r="R40" s="705" t="s">
        <v>14</v>
      </c>
      <c r="S40" s="706">
        <f t="shared" si="12"/>
        <v>100</v>
      </c>
      <c r="T40" s="705" t="s">
        <v>14</v>
      </c>
      <c r="U40" s="706">
        <f t="shared" si="13"/>
        <v>100</v>
      </c>
      <c r="V40" s="705" t="s">
        <v>14</v>
      </c>
      <c r="W40" s="706">
        <f t="shared" si="14"/>
        <v>100</v>
      </c>
      <c r="X40" s="1354"/>
      <c r="Y40" s="368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84"/>
      <c r="Q41" s="707" t="str">
        <f t="shared" si="11"/>
        <v>进深比</v>
      </c>
      <c r="R41" s="708" t="s">
        <v>14</v>
      </c>
      <c r="S41" s="709">
        <f t="shared" si="12"/>
        <v>100</v>
      </c>
      <c r="T41" s="708" t="s">
        <v>14</v>
      </c>
      <c r="U41" s="709">
        <f t="shared" si="13"/>
        <v>100</v>
      </c>
      <c r="V41" s="708" t="s">
        <v>14</v>
      </c>
      <c r="W41" s="709">
        <f t="shared" si="14"/>
        <v>100</v>
      </c>
      <c r="X41" s="710"/>
      <c r="Y41" s="3686"/>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684"/>
      <c r="Q42" s="1351" t="str">
        <f t="shared" si="11"/>
        <v>内部装修</v>
      </c>
      <c r="R42" s="705" t="s">
        <v>14</v>
      </c>
      <c r="S42" s="706">
        <f t="shared" si="12"/>
        <v>100</v>
      </c>
      <c r="T42" s="705" t="s">
        <v>14</v>
      </c>
      <c r="U42" s="706">
        <f t="shared" si="13"/>
        <v>100</v>
      </c>
      <c r="V42" s="705" t="s">
        <v>14</v>
      </c>
      <c r="W42" s="706">
        <f t="shared" si="14"/>
        <v>100</v>
      </c>
      <c r="X42" s="1354"/>
      <c r="Y42" s="368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684"/>
      <c r="Q43" s="1351" t="str">
        <f t="shared" si="11"/>
        <v>内部装修维护情况</v>
      </c>
      <c r="R43" s="705" t="s">
        <v>14</v>
      </c>
      <c r="S43" s="706">
        <f t="shared" si="12"/>
        <v>100</v>
      </c>
      <c r="T43" s="705" t="s">
        <v>14</v>
      </c>
      <c r="U43" s="706">
        <f t="shared" si="13"/>
        <v>100</v>
      </c>
      <c r="V43" s="705" t="s">
        <v>14</v>
      </c>
      <c r="W43" s="706">
        <f t="shared" si="14"/>
        <v>100</v>
      </c>
      <c r="X43" s="1354"/>
      <c r="Y43" s="368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84"/>
      <c r="Q44" s="1342">
        <f t="shared" si="11"/>
        <v>111</v>
      </c>
      <c r="R44" s="701" t="s">
        <v>14</v>
      </c>
      <c r="S44" s="702">
        <f t="shared" si="12"/>
        <v>100</v>
      </c>
      <c r="T44" s="701" t="s">
        <v>14</v>
      </c>
      <c r="U44" s="702">
        <f t="shared" si="13"/>
        <v>100</v>
      </c>
      <c r="V44" s="701" t="s">
        <v>14</v>
      </c>
      <c r="W44" s="702">
        <f t="shared" si="14"/>
        <v>100</v>
      </c>
      <c r="X44" s="703"/>
      <c r="Y44" s="368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84"/>
      <c r="Q45" s="1351">
        <f t="shared" si="11"/>
        <v>111</v>
      </c>
      <c r="R45" s="705" t="s">
        <v>14</v>
      </c>
      <c r="S45" s="706">
        <f t="shared" si="12"/>
        <v>100</v>
      </c>
      <c r="T45" s="705" t="s">
        <v>14</v>
      </c>
      <c r="U45" s="706">
        <f t="shared" si="13"/>
        <v>100</v>
      </c>
      <c r="V45" s="705" t="s">
        <v>14</v>
      </c>
      <c r="W45" s="706">
        <f t="shared" si="14"/>
        <v>100</v>
      </c>
      <c r="X45" s="1354"/>
      <c r="Y45" s="368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85"/>
      <c r="Q46" s="1351">
        <f t="shared" si="11"/>
        <v>111</v>
      </c>
      <c r="R46" s="705" t="s">
        <v>14</v>
      </c>
      <c r="S46" s="706">
        <f t="shared" si="12"/>
        <v>100</v>
      </c>
      <c r="T46" s="705" t="s">
        <v>14</v>
      </c>
      <c r="U46" s="706">
        <f t="shared" si="13"/>
        <v>100</v>
      </c>
      <c r="V46" s="705" t="s">
        <v>14</v>
      </c>
      <c r="W46" s="706">
        <f t="shared" si="14"/>
        <v>100</v>
      </c>
      <c r="X46" s="1354"/>
      <c r="Y46" s="3687"/>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1"/>
      <c r="M47" s="2722"/>
      <c r="N47" s="2713"/>
      <c r="O47" s="2722"/>
      <c r="P47" s="3679" t="str">
        <f>A47</f>
        <v>成交单价（元/平方米）</v>
      </c>
      <c r="Q47" s="3679"/>
      <c r="R47" s="3710">
        <f>E47</f>
        <v>0</v>
      </c>
      <c r="S47" s="3710"/>
      <c r="T47" s="3710">
        <f>G47</f>
        <v>0</v>
      </c>
      <c r="U47" s="3710"/>
      <c r="V47" s="3710">
        <f>I47</f>
        <v>0</v>
      </c>
      <c r="W47" s="3710"/>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21"/>
      <c r="M48" s="2722"/>
      <c r="N48" s="2713"/>
      <c r="O48" s="2722"/>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估价对象为北京市房地产,属开发建设的，该项目尚在开发建设中。根据《国有土地使用证》[]，估价对象（分摊）出让国有建设用地使用权面积为0平方米，规划建筑面积为56.8平方米。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2023年7月24日（评估专业人员实地查勘之日）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3" width="15.6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906"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954"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56.8</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2"/>
      <c r="M4" s="2713"/>
      <c r="N4" s="2713"/>
      <c r="O4" s="2713"/>
      <c r="P4" s="3751" t="s">
        <v>1775</v>
      </c>
      <c r="Q4" s="3752"/>
      <c r="R4" s="3755" t="s">
        <v>1771</v>
      </c>
      <c r="S4" s="3756"/>
      <c r="T4" s="3755" t="s">
        <v>1772</v>
      </c>
      <c r="U4" s="3756"/>
      <c r="V4" s="3757" t="s">
        <v>1773</v>
      </c>
      <c r="W4" s="3757"/>
      <c r="X4" s="1955"/>
      <c r="Y4" s="3755" t="s">
        <v>1775</v>
      </c>
      <c r="Z4" s="3756"/>
      <c r="AA4" s="3759" t="s">
        <v>1771</v>
      </c>
      <c r="AB4" s="3759" t="s">
        <v>1772</v>
      </c>
      <c r="AC4" s="3748" t="s">
        <v>1773</v>
      </c>
    </row>
    <row r="5" spans="1:29" ht="15">
      <c r="A5" s="358"/>
      <c r="B5" s="359"/>
      <c r="C5" s="3713" t="s">
        <v>1673</v>
      </c>
      <c r="D5" s="3714"/>
      <c r="E5" s="3722" t="s">
        <v>1674</v>
      </c>
      <c r="F5" s="3723"/>
      <c r="G5" s="3713" t="s">
        <v>1675</v>
      </c>
      <c r="H5" s="3714"/>
      <c r="I5" s="3713" t="s">
        <v>1676</v>
      </c>
      <c r="J5" s="3714"/>
      <c r="K5" s="559"/>
      <c r="L5" s="2712"/>
      <c r="M5" s="2713"/>
      <c r="N5" s="2713"/>
      <c r="O5" s="2713"/>
      <c r="P5" s="3753"/>
      <c r="Q5" s="3701"/>
      <c r="R5" s="3706"/>
      <c r="S5" s="3707"/>
      <c r="T5" s="3706"/>
      <c r="U5" s="3707"/>
      <c r="V5" s="3710"/>
      <c r="W5" s="3710"/>
      <c r="X5" s="1354"/>
      <c r="Y5" s="3706"/>
      <c r="Z5" s="3707"/>
      <c r="AA5" s="3692"/>
      <c r="AB5" s="3692"/>
      <c r="AC5" s="3749"/>
    </row>
    <row r="6" spans="1:29" ht="15.75" thickBot="1">
      <c r="A6" s="360"/>
      <c r="B6" s="361"/>
      <c r="C6" s="3711" t="s">
        <v>1677</v>
      </c>
      <c r="D6" s="3712"/>
      <c r="E6" s="3720" t="s">
        <v>1677</v>
      </c>
      <c r="F6" s="3721"/>
      <c r="G6" s="3711" t="s">
        <v>1677</v>
      </c>
      <c r="H6" s="3712"/>
      <c r="I6" s="3711" t="s">
        <v>1677</v>
      </c>
      <c r="J6" s="3712"/>
      <c r="K6" s="559" t="s">
        <v>1678</v>
      </c>
      <c r="L6" s="2712"/>
      <c r="M6" s="2713"/>
      <c r="N6" s="2713"/>
      <c r="O6" s="2713"/>
      <c r="P6" s="3754"/>
      <c r="Q6" s="3703"/>
      <c r="R6" s="3706"/>
      <c r="S6" s="3707"/>
      <c r="T6" s="3708"/>
      <c r="U6" s="3709"/>
      <c r="V6" s="3710"/>
      <c r="W6" s="3710"/>
      <c r="X6" s="1354"/>
      <c r="Y6" s="3708"/>
      <c r="Z6" s="3709"/>
      <c r="AA6" s="3693"/>
      <c r="AB6" s="3693"/>
      <c r="AC6" s="3750"/>
    </row>
    <row r="7" spans="1:29" s="108" customFormat="1" ht="15.75" thickBot="1">
      <c r="A7" s="362" t="s">
        <v>1679</v>
      </c>
      <c r="B7" s="363"/>
      <c r="C7" s="364">
        <f>'数据-取费表'!B2</f>
        <v>45131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58"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58" t="s">
        <v>1683</v>
      </c>
      <c r="Q8" s="3716"/>
      <c r="R8" s="701" t="s">
        <v>14</v>
      </c>
      <c r="S8" s="702">
        <f t="shared" si="0"/>
        <v>100</v>
      </c>
      <c r="T8" s="701" t="s">
        <v>14</v>
      </c>
      <c r="U8" s="702">
        <f t="shared" si="1"/>
        <v>100</v>
      </c>
      <c r="V8" s="701" t="s">
        <v>14</v>
      </c>
      <c r="W8" s="702">
        <f t="shared" si="2"/>
        <v>100</v>
      </c>
      <c r="X8" s="703"/>
      <c r="Y8" s="3715" t="s">
        <v>1683</v>
      </c>
      <c r="Z8" s="3716"/>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90"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0"/>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0"/>
      <c r="Q11" s="1342"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90"/>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90"/>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90"/>
      <c r="Q14" s="1342">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88" t="s">
        <v>1691</v>
      </c>
      <c r="Q15" s="1351" t="str">
        <f t="shared" si="6"/>
        <v>办公集聚程度</v>
      </c>
      <c r="R15" s="705" t="s">
        <v>14</v>
      </c>
      <c r="S15" s="706">
        <f t="shared" si="0"/>
        <v>100</v>
      </c>
      <c r="T15" s="705" t="s">
        <v>14</v>
      </c>
      <c r="U15" s="706">
        <f t="shared" si="1"/>
        <v>100</v>
      </c>
      <c r="V15" s="705" t="s">
        <v>14</v>
      </c>
      <c r="W15" s="706">
        <f t="shared" si="2"/>
        <v>100</v>
      </c>
      <c r="X15" s="1354"/>
      <c r="Y15" s="3681" t="s">
        <v>1691</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9"/>
      <c r="M16" s="2713"/>
      <c r="N16" s="2713"/>
      <c r="O16" s="2713"/>
      <c r="P16" s="3689"/>
      <c r="Q16" s="1351"/>
      <c r="R16" s="705"/>
      <c r="S16" s="706"/>
      <c r="T16" s="705"/>
      <c r="U16" s="706"/>
      <c r="V16" s="705"/>
      <c r="W16" s="706"/>
      <c r="X16" s="1354"/>
      <c r="Y16" s="3682"/>
      <c r="Z16" s="1355"/>
      <c r="AA16" s="1352">
        <v>1</v>
      </c>
      <c r="AB16" s="1352">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89"/>
      <c r="Q17" s="1351" t="str">
        <f>B17</f>
        <v>交通便捷度</v>
      </c>
      <c r="R17" s="705" t="s">
        <v>14</v>
      </c>
      <c r="S17" s="706">
        <f>F17</f>
        <v>100</v>
      </c>
      <c r="T17" s="705" t="s">
        <v>14</v>
      </c>
      <c r="U17" s="706">
        <f>H17</f>
        <v>100</v>
      </c>
      <c r="V17" s="705" t="s">
        <v>14</v>
      </c>
      <c r="W17" s="706">
        <f>J17</f>
        <v>100</v>
      </c>
      <c r="X17" s="1354"/>
      <c r="Y17" s="3682"/>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9"/>
      <c r="M18" s="2713"/>
      <c r="N18" s="2713"/>
      <c r="O18" s="2713"/>
      <c r="P18" s="3689"/>
      <c r="Q18" s="1351"/>
      <c r="R18" s="705"/>
      <c r="S18" s="706"/>
      <c r="T18" s="705"/>
      <c r="U18" s="706"/>
      <c r="V18" s="705"/>
      <c r="W18" s="706"/>
      <c r="X18" s="1354"/>
      <c r="Y18" s="3682"/>
      <c r="Z18" s="1355"/>
      <c r="AA18" s="1352">
        <v>1</v>
      </c>
      <c r="AB18" s="1352">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89"/>
      <c r="Q19" s="1351" t="str">
        <f>B19</f>
        <v>公共配套设施</v>
      </c>
      <c r="R19" s="705" t="s">
        <v>14</v>
      </c>
      <c r="S19" s="706">
        <f>F19</f>
        <v>100</v>
      </c>
      <c r="T19" s="705" t="s">
        <v>14</v>
      </c>
      <c r="U19" s="706">
        <f>H19</f>
        <v>100</v>
      </c>
      <c r="V19" s="705" t="s">
        <v>14</v>
      </c>
      <c r="W19" s="706">
        <f>J19</f>
        <v>100</v>
      </c>
      <c r="X19" s="1354"/>
      <c r="Y19" s="3682"/>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9"/>
      <c r="M20" s="2713"/>
      <c r="N20" s="2713"/>
      <c r="O20" s="2713"/>
      <c r="P20" s="3689"/>
      <c r="Q20" s="1351"/>
      <c r="R20" s="705"/>
      <c r="S20" s="706"/>
      <c r="T20" s="705"/>
      <c r="U20" s="706"/>
      <c r="V20" s="705"/>
      <c r="W20" s="706"/>
      <c r="X20" s="1354"/>
      <c r="Y20" s="3682"/>
      <c r="Z20" s="1355"/>
      <c r="AA20" s="1352">
        <v>1</v>
      </c>
      <c r="AB20" s="1352">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89"/>
      <c r="Q21" s="1351" t="str">
        <f>B21</f>
        <v>基础设施水平</v>
      </c>
      <c r="R21" s="705" t="s">
        <v>14</v>
      </c>
      <c r="S21" s="706">
        <f>F21</f>
        <v>100</v>
      </c>
      <c r="T21" s="705" t="s">
        <v>14</v>
      </c>
      <c r="U21" s="706">
        <f>H21</f>
        <v>100</v>
      </c>
      <c r="V21" s="705" t="s">
        <v>14</v>
      </c>
      <c r="W21" s="706">
        <f>J21</f>
        <v>100</v>
      </c>
      <c r="X21" s="1354"/>
      <c r="Y21" s="3682"/>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30"/>
      <c r="L22" s="2719"/>
      <c r="M22" s="2713"/>
      <c r="N22" s="2713"/>
      <c r="O22" s="2713"/>
      <c r="P22" s="3689"/>
      <c r="Q22" s="1351"/>
      <c r="R22" s="705"/>
      <c r="S22" s="706"/>
      <c r="T22" s="705"/>
      <c r="U22" s="706"/>
      <c r="V22" s="705"/>
      <c r="W22" s="706"/>
      <c r="X22" s="1354"/>
      <c r="Y22" s="3682"/>
      <c r="Z22" s="1355"/>
      <c r="AA22" s="1352">
        <v>1</v>
      </c>
      <c r="AB22" s="1352">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89"/>
      <c r="Q23" s="1351" t="str">
        <f>B23</f>
        <v>环境质量</v>
      </c>
      <c r="R23" s="705" t="s">
        <v>14</v>
      </c>
      <c r="S23" s="706">
        <f>F23</f>
        <v>100</v>
      </c>
      <c r="T23" s="705" t="s">
        <v>14</v>
      </c>
      <c r="U23" s="706">
        <f>H23</f>
        <v>100</v>
      </c>
      <c r="V23" s="705" t="s">
        <v>14</v>
      </c>
      <c r="W23" s="706">
        <f>J23</f>
        <v>100</v>
      </c>
      <c r="X23" s="1354"/>
      <c r="Y23" s="3682"/>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9"/>
      <c r="M24" s="2713"/>
      <c r="N24" s="2713"/>
      <c r="O24" s="2713"/>
      <c r="P24" s="3689"/>
      <c r="Q24" s="1351"/>
      <c r="R24" s="705"/>
      <c r="S24" s="706"/>
      <c r="T24" s="705"/>
      <c r="U24" s="706"/>
      <c r="V24" s="705"/>
      <c r="W24" s="706"/>
      <c r="X24" s="1354"/>
      <c r="Y24" s="3682"/>
      <c r="Z24" s="1355"/>
      <c r="AA24" s="1352">
        <v>1</v>
      </c>
      <c r="AB24" s="1352">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89"/>
      <c r="Q25" s="1351" t="str">
        <f>B25</f>
        <v>毗邻道路的类型与等级</v>
      </c>
      <c r="R25" s="705" t="s">
        <v>14</v>
      </c>
      <c r="S25" s="706">
        <f>F25</f>
        <v>100</v>
      </c>
      <c r="T25" s="705" t="s">
        <v>14</v>
      </c>
      <c r="U25" s="706">
        <f>H25</f>
        <v>100</v>
      </c>
      <c r="V25" s="705" t="s">
        <v>14</v>
      </c>
      <c r="W25" s="706">
        <f>J25</f>
        <v>100</v>
      </c>
      <c r="X25" s="1354"/>
      <c r="Y25" s="3682"/>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9"/>
      <c r="M26" s="2713"/>
      <c r="N26" s="2713"/>
      <c r="O26" s="2713"/>
      <c r="P26" s="3689"/>
      <c r="Q26" s="1351"/>
      <c r="R26" s="705"/>
      <c r="S26" s="706"/>
      <c r="T26" s="705"/>
      <c r="U26" s="706"/>
      <c r="V26" s="705"/>
      <c r="W26" s="706"/>
      <c r="X26" s="1354"/>
      <c r="Y26" s="3682"/>
      <c r="Z26" s="1355"/>
      <c r="AA26" s="1352">
        <v>1</v>
      </c>
      <c r="AB26" s="1352">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89"/>
      <c r="Q27" s="1351" t="str">
        <f t="shared" ref="Q27:Q47" si="11">B27</f>
        <v>楼层</v>
      </c>
      <c r="R27" s="705" t="s">
        <v>14</v>
      </c>
      <c r="S27" s="706">
        <f>F27</f>
        <v>100</v>
      </c>
      <c r="T27" s="705" t="s">
        <v>14</v>
      </c>
      <c r="U27" s="706">
        <f>H27</f>
        <v>100</v>
      </c>
      <c r="V27" s="705" t="s">
        <v>14</v>
      </c>
      <c r="W27" s="706">
        <f>J27</f>
        <v>100</v>
      </c>
      <c r="X27" s="1354"/>
      <c r="Y27" s="3682"/>
      <c r="Z27" s="1355" t="str">
        <f>Q27</f>
        <v>楼层</v>
      </c>
      <c r="AA27" s="1352">
        <f t="shared" si="3"/>
        <v>1</v>
      </c>
      <c r="AB27" s="1352">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89"/>
      <c r="Q28" s="1342" t="str">
        <f t="shared" si="11"/>
        <v>朝向</v>
      </c>
      <c r="R28" s="701" t="s">
        <v>14</v>
      </c>
      <c r="S28" s="702">
        <f>F28</f>
        <v>100</v>
      </c>
      <c r="T28" s="701" t="s">
        <v>14</v>
      </c>
      <c r="U28" s="702">
        <f>H28</f>
        <v>100</v>
      </c>
      <c r="V28" s="701" t="s">
        <v>14</v>
      </c>
      <c r="W28" s="702">
        <f>J28</f>
        <v>100</v>
      </c>
      <c r="X28" s="703"/>
      <c r="Y28" s="3682"/>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89"/>
      <c r="Q29" s="1351">
        <f t="shared" si="11"/>
        <v>111</v>
      </c>
      <c r="R29" s="705" t="s">
        <v>14</v>
      </c>
      <c r="S29" s="706">
        <f t="shared" ref="S29:S47" si="12">F29</f>
        <v>100</v>
      </c>
      <c r="T29" s="705" t="s">
        <v>14</v>
      </c>
      <c r="U29" s="706">
        <f t="shared" ref="U29:U47" si="13">H29</f>
        <v>100</v>
      </c>
      <c r="V29" s="705" t="s">
        <v>14</v>
      </c>
      <c r="W29" s="706">
        <f t="shared" ref="W29:W47" si="14">J29</f>
        <v>100</v>
      </c>
      <c r="X29" s="1354"/>
      <c r="Y29" s="3682"/>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89"/>
      <c r="Q30" s="1351">
        <f t="shared" si="11"/>
        <v>111</v>
      </c>
      <c r="R30" s="705" t="s">
        <v>14</v>
      </c>
      <c r="S30" s="706">
        <f t="shared" si="12"/>
        <v>100</v>
      </c>
      <c r="T30" s="705" t="s">
        <v>14</v>
      </c>
      <c r="U30" s="706">
        <f t="shared" si="13"/>
        <v>100</v>
      </c>
      <c r="V30" s="705" t="s">
        <v>14</v>
      </c>
      <c r="W30" s="706">
        <f t="shared" si="14"/>
        <v>100</v>
      </c>
      <c r="X30" s="1354"/>
      <c r="Y30" s="3682"/>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89"/>
      <c r="Q31" s="1351">
        <f t="shared" si="11"/>
        <v>111</v>
      </c>
      <c r="R31" s="705" t="s">
        <v>14</v>
      </c>
      <c r="S31" s="706">
        <f t="shared" si="12"/>
        <v>100</v>
      </c>
      <c r="T31" s="705" t="s">
        <v>14</v>
      </c>
      <c r="U31" s="706">
        <f t="shared" si="13"/>
        <v>100</v>
      </c>
      <c r="V31" s="705" t="s">
        <v>14</v>
      </c>
      <c r="W31" s="706">
        <f t="shared" si="14"/>
        <v>100</v>
      </c>
      <c r="X31" s="1354"/>
      <c r="Y31" s="3682"/>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89"/>
      <c r="Q32" s="1351">
        <f t="shared" si="11"/>
        <v>111</v>
      </c>
      <c r="R32" s="705" t="s">
        <v>14</v>
      </c>
      <c r="S32" s="706">
        <f t="shared" si="12"/>
        <v>100</v>
      </c>
      <c r="T32" s="705" t="s">
        <v>14</v>
      </c>
      <c r="U32" s="706">
        <f t="shared" si="13"/>
        <v>100</v>
      </c>
      <c r="V32" s="705" t="s">
        <v>14</v>
      </c>
      <c r="W32" s="706">
        <f t="shared" si="14"/>
        <v>100</v>
      </c>
      <c r="X32" s="1354"/>
      <c r="Y32" s="3682"/>
      <c r="Z32" s="1355">
        <f t="shared" si="15"/>
        <v>111</v>
      </c>
      <c r="AA32" s="1352">
        <f t="shared" si="3"/>
        <v>1</v>
      </c>
      <c r="AB32" s="1352">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683" t="s">
        <v>1696</v>
      </c>
      <c r="Q33" s="1351" t="str">
        <f t="shared" si="11"/>
        <v>建筑类型</v>
      </c>
      <c r="R33" s="705" t="s">
        <v>14</v>
      </c>
      <c r="S33" s="706">
        <f t="shared" si="12"/>
        <v>100</v>
      </c>
      <c r="T33" s="705" t="s">
        <v>14</v>
      </c>
      <c r="U33" s="706">
        <f t="shared" si="13"/>
        <v>100</v>
      </c>
      <c r="V33" s="705" t="s">
        <v>14</v>
      </c>
      <c r="W33" s="706">
        <f t="shared" si="14"/>
        <v>100</v>
      </c>
      <c r="X33" s="1354"/>
      <c r="Y33" s="3686" t="s">
        <v>1696</v>
      </c>
      <c r="Z33" s="1355" t="str">
        <f t="shared" si="15"/>
        <v>建筑类型</v>
      </c>
      <c r="AA33" s="1352">
        <f t="shared" si="3"/>
        <v>1</v>
      </c>
      <c r="AB33" s="1352">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84"/>
      <c r="Q34" s="707" t="str">
        <f t="shared" si="11"/>
        <v>项目建筑规模</v>
      </c>
      <c r="R34" s="708" t="s">
        <v>14</v>
      </c>
      <c r="S34" s="709" t="e">
        <f t="shared" si="12"/>
        <v>#N/A</v>
      </c>
      <c r="T34" s="708" t="s">
        <v>14</v>
      </c>
      <c r="U34" s="709" t="e">
        <f t="shared" si="13"/>
        <v>#N/A</v>
      </c>
      <c r="V34" s="708" t="s">
        <v>14</v>
      </c>
      <c r="W34" s="709" t="e">
        <f t="shared" si="14"/>
        <v>#N/A</v>
      </c>
      <c r="X34" s="710"/>
      <c r="Y34" s="3686"/>
      <c r="Z34" s="711" t="str">
        <f t="shared" si="15"/>
        <v>项目建筑规模</v>
      </c>
      <c r="AA34" s="1352" t="e">
        <f t="shared" si="3"/>
        <v>#N/A</v>
      </c>
      <c r="AB34" s="1352"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84"/>
      <c r="Q35" s="1351" t="str">
        <f t="shared" si="11"/>
        <v>建筑结构</v>
      </c>
      <c r="R35" s="705" t="s">
        <v>14</v>
      </c>
      <c r="S35" s="706">
        <f t="shared" si="12"/>
        <v>100</v>
      </c>
      <c r="T35" s="705" t="s">
        <v>14</v>
      </c>
      <c r="U35" s="706">
        <f t="shared" si="13"/>
        <v>100</v>
      </c>
      <c r="V35" s="705" t="s">
        <v>14</v>
      </c>
      <c r="W35" s="706">
        <f t="shared" si="14"/>
        <v>100</v>
      </c>
      <c r="X35" s="1354"/>
      <c r="Y35" s="3686"/>
      <c r="Z35" s="1355" t="str">
        <f t="shared" si="15"/>
        <v>建筑结构</v>
      </c>
      <c r="AA35" s="1352">
        <f t="shared" si="3"/>
        <v>1</v>
      </c>
      <c r="AB35" s="1352">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84"/>
      <c r="Q36" s="1351" t="str">
        <f t="shared" si="11"/>
        <v>公共部分装修</v>
      </c>
      <c r="R36" s="705" t="s">
        <v>14</v>
      </c>
      <c r="S36" s="706">
        <f t="shared" si="12"/>
        <v>100</v>
      </c>
      <c r="T36" s="705" t="s">
        <v>14</v>
      </c>
      <c r="U36" s="706">
        <f t="shared" si="13"/>
        <v>100</v>
      </c>
      <c r="V36" s="705" t="s">
        <v>14</v>
      </c>
      <c r="W36" s="706">
        <f t="shared" si="14"/>
        <v>100</v>
      </c>
      <c r="X36" s="1354"/>
      <c r="Y36" s="3686"/>
      <c r="Z36" s="1355" t="str">
        <f t="shared" si="15"/>
        <v>公共部分装修</v>
      </c>
      <c r="AA36" s="1352">
        <f t="shared" si="3"/>
        <v>1</v>
      </c>
      <c r="AB36" s="1352">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84"/>
      <c r="Q37" s="1351" t="str">
        <f t="shared" si="11"/>
        <v>成新度</v>
      </c>
      <c r="R37" s="705" t="s">
        <v>14</v>
      </c>
      <c r="S37" s="706" t="e">
        <f t="shared" si="12"/>
        <v>#N/A</v>
      </c>
      <c r="T37" s="705" t="s">
        <v>14</v>
      </c>
      <c r="U37" s="706" t="e">
        <f t="shared" si="13"/>
        <v>#N/A</v>
      </c>
      <c r="V37" s="705" t="s">
        <v>14</v>
      </c>
      <c r="W37" s="706" t="e">
        <f t="shared" si="14"/>
        <v>#N/A</v>
      </c>
      <c r="X37" s="1354"/>
      <c r="Y37" s="3686"/>
      <c r="Z37" s="1355" t="str">
        <f t="shared" si="15"/>
        <v>成新度</v>
      </c>
      <c r="AA37" s="1352" t="e">
        <f t="shared" si="3"/>
        <v>#N/A</v>
      </c>
      <c r="AB37" s="1352"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84"/>
      <c r="Q38" s="1342" t="str">
        <f t="shared" si="11"/>
        <v>写字楼等级</v>
      </c>
      <c r="R38" s="701" t="s">
        <v>14</v>
      </c>
      <c r="S38" s="702">
        <f t="shared" si="12"/>
        <v>100</v>
      </c>
      <c r="T38" s="701" t="s">
        <v>14</v>
      </c>
      <c r="U38" s="702">
        <f t="shared" si="13"/>
        <v>100</v>
      </c>
      <c r="V38" s="701" t="s">
        <v>14</v>
      </c>
      <c r="W38" s="702">
        <f t="shared" si="14"/>
        <v>100</v>
      </c>
      <c r="X38" s="703"/>
      <c r="Y38" s="3686"/>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84" t="s">
        <v>1696</v>
      </c>
      <c r="Q39" s="1351" t="str">
        <f t="shared" si="11"/>
        <v>物业管理</v>
      </c>
      <c r="R39" s="705" t="s">
        <v>14</v>
      </c>
      <c r="S39" s="706">
        <f t="shared" si="12"/>
        <v>100</v>
      </c>
      <c r="T39" s="705" t="s">
        <v>14</v>
      </c>
      <c r="U39" s="706">
        <f t="shared" si="13"/>
        <v>100</v>
      </c>
      <c r="V39" s="705" t="s">
        <v>14</v>
      </c>
      <c r="W39" s="706">
        <f t="shared" si="14"/>
        <v>100</v>
      </c>
      <c r="X39" s="1354"/>
      <c r="Y39" s="3686" t="s">
        <v>1696</v>
      </c>
      <c r="Z39" s="1355" t="str">
        <f t="shared" si="15"/>
        <v>物业管理</v>
      </c>
      <c r="AA39" s="1352">
        <f t="shared" si="3"/>
        <v>1</v>
      </c>
      <c r="AB39" s="1352">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84"/>
      <c r="Q40" s="1351" t="str">
        <f t="shared" si="11"/>
        <v>市政基础设施</v>
      </c>
      <c r="R40" s="705" t="s">
        <v>14</v>
      </c>
      <c r="S40" s="706">
        <f t="shared" si="12"/>
        <v>100</v>
      </c>
      <c r="T40" s="705" t="s">
        <v>14</v>
      </c>
      <c r="U40" s="706">
        <f t="shared" si="13"/>
        <v>100</v>
      </c>
      <c r="V40" s="705" t="s">
        <v>14</v>
      </c>
      <c r="W40" s="706">
        <f t="shared" si="14"/>
        <v>100</v>
      </c>
      <c r="X40" s="1354"/>
      <c r="Y40" s="3686"/>
      <c r="Z40" s="1355" t="str">
        <f t="shared" si="15"/>
        <v>市政基础设施</v>
      </c>
      <c r="AA40" s="1352">
        <f t="shared" si="3"/>
        <v>1</v>
      </c>
      <c r="AB40" s="1352">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84"/>
      <c r="Q41" s="1351" t="str">
        <f t="shared" si="11"/>
        <v>层高</v>
      </c>
      <c r="R41" s="705" t="s">
        <v>14</v>
      </c>
      <c r="S41" s="706">
        <f t="shared" si="12"/>
        <v>100</v>
      </c>
      <c r="T41" s="705" t="s">
        <v>14</v>
      </c>
      <c r="U41" s="706">
        <f t="shared" si="13"/>
        <v>100</v>
      </c>
      <c r="V41" s="705" t="s">
        <v>14</v>
      </c>
      <c r="W41" s="706">
        <f t="shared" si="14"/>
        <v>100</v>
      </c>
      <c r="X41" s="1354"/>
      <c r="Y41" s="3686"/>
      <c r="Z41" s="1355" t="str">
        <f t="shared" si="15"/>
        <v>层高</v>
      </c>
      <c r="AA41" s="1352">
        <f t="shared" si="3"/>
        <v>1</v>
      </c>
      <c r="AB41" s="1352">
        <f t="shared" si="4"/>
        <v>1</v>
      </c>
      <c r="AC41" s="1959">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84"/>
      <c r="Q42" s="707" t="str">
        <f t="shared" si="11"/>
        <v>单套建筑面积</v>
      </c>
      <c r="R42" s="708" t="s">
        <v>14</v>
      </c>
      <c r="S42" s="709">
        <f t="shared" si="12"/>
        <v>100</v>
      </c>
      <c r="T42" s="708" t="s">
        <v>14</v>
      </c>
      <c r="U42" s="709">
        <f t="shared" si="13"/>
        <v>100</v>
      </c>
      <c r="V42" s="708" t="s">
        <v>14</v>
      </c>
      <c r="W42" s="709">
        <f t="shared" si="14"/>
        <v>100</v>
      </c>
      <c r="X42" s="710"/>
      <c r="Y42" s="3686"/>
      <c r="Z42" s="711" t="str">
        <f t="shared" si="15"/>
        <v>单套建筑面积</v>
      </c>
      <c r="AA42" s="1352">
        <f t="shared" si="3"/>
        <v>1</v>
      </c>
      <c r="AB42" s="1352">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84"/>
      <c r="Q43" s="1351" t="str">
        <f t="shared" si="11"/>
        <v>内部装修</v>
      </c>
      <c r="R43" s="705" t="s">
        <v>14</v>
      </c>
      <c r="S43" s="706">
        <f t="shared" si="12"/>
        <v>100</v>
      </c>
      <c r="T43" s="705" t="s">
        <v>14</v>
      </c>
      <c r="U43" s="706">
        <f t="shared" si="13"/>
        <v>100</v>
      </c>
      <c r="V43" s="705" t="s">
        <v>14</v>
      </c>
      <c r="W43" s="706">
        <f t="shared" si="14"/>
        <v>100</v>
      </c>
      <c r="X43" s="1354"/>
      <c r="Y43" s="3686"/>
      <c r="Z43" s="1355" t="str">
        <f t="shared" si="15"/>
        <v>内部装修</v>
      </c>
      <c r="AA43" s="1352">
        <f t="shared" si="3"/>
        <v>1</v>
      </c>
      <c r="AB43" s="1352">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684"/>
      <c r="Q44" s="1351" t="str">
        <f t="shared" si="11"/>
        <v>内部装修维护情况</v>
      </c>
      <c r="R44" s="705" t="s">
        <v>14</v>
      </c>
      <c r="S44" s="706">
        <f t="shared" si="12"/>
        <v>100</v>
      </c>
      <c r="T44" s="705" t="s">
        <v>14</v>
      </c>
      <c r="U44" s="706">
        <f t="shared" si="13"/>
        <v>100</v>
      </c>
      <c r="V44" s="705" t="s">
        <v>14</v>
      </c>
      <c r="W44" s="706">
        <f t="shared" si="14"/>
        <v>100</v>
      </c>
      <c r="X44" s="1354"/>
      <c r="Y44" s="3686"/>
      <c r="Z44" s="1355" t="str">
        <f t="shared" si="15"/>
        <v>内部装修维护情况</v>
      </c>
      <c r="AA44" s="1352">
        <f t="shared" si="3"/>
        <v>1</v>
      </c>
      <c r="AB44" s="1352">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84"/>
      <c r="Q45" s="1342">
        <f t="shared" si="11"/>
        <v>111</v>
      </c>
      <c r="R45" s="701" t="s">
        <v>14</v>
      </c>
      <c r="S45" s="702">
        <f t="shared" si="12"/>
        <v>100</v>
      </c>
      <c r="T45" s="701" t="s">
        <v>14</v>
      </c>
      <c r="U45" s="702">
        <f t="shared" si="13"/>
        <v>100</v>
      </c>
      <c r="V45" s="701" t="s">
        <v>14</v>
      </c>
      <c r="W45" s="702">
        <f t="shared" si="14"/>
        <v>100</v>
      </c>
      <c r="X45" s="703"/>
      <c r="Y45" s="3686"/>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84"/>
      <c r="Q46" s="1351">
        <f t="shared" si="11"/>
        <v>111</v>
      </c>
      <c r="R46" s="705" t="s">
        <v>14</v>
      </c>
      <c r="S46" s="706">
        <f t="shared" si="12"/>
        <v>100</v>
      </c>
      <c r="T46" s="705" t="s">
        <v>14</v>
      </c>
      <c r="U46" s="706">
        <f t="shared" si="13"/>
        <v>100</v>
      </c>
      <c r="V46" s="705" t="s">
        <v>14</v>
      </c>
      <c r="W46" s="706">
        <f t="shared" si="14"/>
        <v>100</v>
      </c>
      <c r="X46" s="1354"/>
      <c r="Y46" s="3686"/>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85"/>
      <c r="Q47" s="1351">
        <f t="shared" si="11"/>
        <v>111</v>
      </c>
      <c r="R47" s="705" t="s">
        <v>14</v>
      </c>
      <c r="S47" s="706">
        <f t="shared" si="12"/>
        <v>100</v>
      </c>
      <c r="T47" s="705" t="s">
        <v>14</v>
      </c>
      <c r="U47" s="706">
        <f t="shared" si="13"/>
        <v>100</v>
      </c>
      <c r="V47" s="705" t="s">
        <v>14</v>
      </c>
      <c r="W47" s="706">
        <f t="shared" si="14"/>
        <v>100</v>
      </c>
      <c r="X47" s="1354"/>
      <c r="Y47" s="3687"/>
      <c r="Z47" s="1355">
        <f t="shared" si="15"/>
        <v>111</v>
      </c>
      <c r="AA47" s="1352">
        <f t="shared" si="3"/>
        <v>1</v>
      </c>
      <c r="AB47" s="1352">
        <f t="shared" si="4"/>
        <v>1</v>
      </c>
      <c r="AC47" s="1959">
        <f t="shared" si="5"/>
        <v>1</v>
      </c>
    </row>
    <row r="48" spans="1:29" ht="15">
      <c r="A48" s="430" t="s">
        <v>1708</v>
      </c>
      <c r="B48" s="431"/>
      <c r="C48" s="1154" t="s">
        <v>0</v>
      </c>
      <c r="D48" s="1155"/>
      <c r="E48" s="1156"/>
      <c r="F48" s="1157"/>
      <c r="G48" s="1158"/>
      <c r="H48" s="1159"/>
      <c r="I48" s="1156"/>
      <c r="J48" s="436"/>
      <c r="K48" s="714"/>
      <c r="L48" s="2721"/>
      <c r="M48" s="2713"/>
      <c r="N48" s="2713"/>
      <c r="O48" s="2713"/>
      <c r="P48" s="3690" t="str">
        <f>A48</f>
        <v>成交单价（元/平方米）</v>
      </c>
      <c r="Q48" s="3679"/>
      <c r="R48" s="3680">
        <f>E48</f>
        <v>0</v>
      </c>
      <c r="S48" s="3680"/>
      <c r="T48" s="3680">
        <f>G48</f>
        <v>0</v>
      </c>
      <c r="U48" s="3680"/>
      <c r="V48" s="3680">
        <f>I48</f>
        <v>0</v>
      </c>
      <c r="W48" s="3680"/>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21"/>
      <c r="M49" s="2713"/>
      <c r="N49" s="2713"/>
      <c r="O49" s="2713"/>
      <c r="P49" s="3690"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56.8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3"/>
      <c r="M4" s="914"/>
      <c r="N4" s="914"/>
      <c r="O4" s="914"/>
      <c r="P4" s="3698" t="s">
        <v>1775</v>
      </c>
      <c r="Q4" s="3699"/>
      <c r="R4" s="3704" t="s">
        <v>1771</v>
      </c>
      <c r="S4" s="3705"/>
      <c r="T4" s="3704" t="s">
        <v>1772</v>
      </c>
      <c r="U4" s="3705"/>
      <c r="V4" s="3710" t="s">
        <v>1773</v>
      </c>
      <c r="W4" s="3710"/>
      <c r="X4" s="1354"/>
      <c r="Y4" s="3704" t="s">
        <v>1775</v>
      </c>
      <c r="Z4" s="3705"/>
      <c r="AA4" s="3691" t="s">
        <v>1771</v>
      </c>
      <c r="AB4" s="3692" t="s">
        <v>1772</v>
      </c>
      <c r="AC4" s="3691" t="s">
        <v>1773</v>
      </c>
    </row>
    <row r="5" spans="1:29" ht="15">
      <c r="A5" s="358"/>
      <c r="B5" s="359"/>
      <c r="C5" s="3713" t="s">
        <v>1673</v>
      </c>
      <c r="D5" s="3714"/>
      <c r="E5" s="3722" t="s">
        <v>1674</v>
      </c>
      <c r="F5" s="3723"/>
      <c r="G5" s="3713" t="s">
        <v>1675</v>
      </c>
      <c r="H5" s="3714"/>
      <c r="I5" s="3713" t="s">
        <v>1676</v>
      </c>
      <c r="J5" s="3714"/>
      <c r="K5" s="559"/>
      <c r="L5" s="913"/>
      <c r="M5" s="914"/>
      <c r="N5" s="914"/>
      <c r="O5" s="914"/>
      <c r="P5" s="3700"/>
      <c r="Q5" s="3701"/>
      <c r="R5" s="3706"/>
      <c r="S5" s="3707"/>
      <c r="T5" s="3706"/>
      <c r="U5" s="3707"/>
      <c r="V5" s="3710"/>
      <c r="W5" s="3710"/>
      <c r="X5" s="1354"/>
      <c r="Y5" s="3706"/>
      <c r="Z5" s="3707"/>
      <c r="AA5" s="3692"/>
      <c r="AB5" s="3692"/>
      <c r="AC5" s="3692"/>
    </row>
    <row r="6" spans="1:29" ht="15.75" thickBot="1">
      <c r="A6" s="360"/>
      <c r="B6" s="361"/>
      <c r="C6" s="3711" t="s">
        <v>1677</v>
      </c>
      <c r="D6" s="3712"/>
      <c r="E6" s="3720" t="s">
        <v>1677</v>
      </c>
      <c r="F6" s="3721"/>
      <c r="G6" s="3711" t="s">
        <v>1677</v>
      </c>
      <c r="H6" s="3712"/>
      <c r="I6" s="3711" t="s">
        <v>1677</v>
      </c>
      <c r="J6" s="3712"/>
      <c r="K6" s="559" t="s">
        <v>1678</v>
      </c>
      <c r="L6" s="913"/>
      <c r="M6" s="914"/>
      <c r="N6" s="914"/>
      <c r="O6" s="914"/>
      <c r="P6" s="3702"/>
      <c r="Q6" s="3703"/>
      <c r="R6" s="3706"/>
      <c r="S6" s="3707"/>
      <c r="T6" s="3708"/>
      <c r="U6" s="3709"/>
      <c r="V6" s="3710"/>
      <c r="W6" s="3710"/>
      <c r="X6" s="1354"/>
      <c r="Y6" s="3708"/>
      <c r="Z6" s="3709"/>
      <c r="AA6" s="3693"/>
      <c r="AB6" s="3693"/>
      <c r="AC6" s="3693"/>
    </row>
    <row r="7" spans="1:29" s="108" customFormat="1" ht="15.75" thickBot="1">
      <c r="A7" s="362" t="s">
        <v>1679</v>
      </c>
      <c r="B7" s="363"/>
      <c r="C7" s="364">
        <f>'数据-取费表'!B2</f>
        <v>45131</v>
      </c>
      <c r="D7" s="365">
        <v>100</v>
      </c>
      <c r="E7" s="366"/>
      <c r="F7" s="367">
        <f>SUMIF(52:52,YEAR(E7)&amp;"-"&amp;MONTH(E7),53:53)</f>
        <v>0</v>
      </c>
      <c r="G7" s="366"/>
      <c r="H7" s="365">
        <f>SUMIF(52:52,YEAR(G7)&amp;"-"&amp;MONTH(G7),53:53)</f>
        <v>0</v>
      </c>
      <c r="I7" s="366"/>
      <c r="J7" s="365">
        <f>SUMIF(52:52,YEAR(I7)&amp;"-"&amp;MONTH(I7),53:53)</f>
        <v>0</v>
      </c>
      <c r="K7" s="560"/>
      <c r="L7" s="915"/>
      <c r="M7" s="916"/>
      <c r="N7" s="916"/>
      <c r="O7" s="916"/>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5" t="s">
        <v>1683</v>
      </c>
      <c r="Q8" s="3716"/>
      <c r="R8" s="701" t="s">
        <v>14</v>
      </c>
      <c r="S8" s="702">
        <f t="shared" si="0"/>
        <v>100</v>
      </c>
      <c r="T8" s="701" t="s">
        <v>14</v>
      </c>
      <c r="U8" s="702">
        <f t="shared" si="1"/>
        <v>100</v>
      </c>
      <c r="V8" s="701" t="s">
        <v>14</v>
      </c>
      <c r="W8" s="702">
        <f t="shared" si="2"/>
        <v>100</v>
      </c>
      <c r="X8" s="703"/>
      <c r="Y8" s="3715" t="s">
        <v>1683</v>
      </c>
      <c r="Z8" s="371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9"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79"/>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9"/>
      <c r="Q11" s="1342"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79"/>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79"/>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79"/>
      <c r="Q14" s="1342">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1" t="s">
        <v>1691</v>
      </c>
      <c r="Q15" s="1351" t="str">
        <f t="shared" si="6"/>
        <v>产业集聚程度</v>
      </c>
      <c r="R15" s="705" t="s">
        <v>14</v>
      </c>
      <c r="S15" s="706">
        <f t="shared" si="0"/>
        <v>100</v>
      </c>
      <c r="T15" s="705" t="s">
        <v>14</v>
      </c>
      <c r="U15" s="706">
        <f t="shared" si="1"/>
        <v>100</v>
      </c>
      <c r="V15" s="705" t="s">
        <v>14</v>
      </c>
      <c r="W15" s="706">
        <f t="shared" si="2"/>
        <v>100</v>
      </c>
      <c r="X15" s="1354"/>
      <c r="Y15" s="368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82"/>
      <c r="Q16" s="1351"/>
      <c r="R16" s="705"/>
      <c r="S16" s="706"/>
      <c r="T16" s="705"/>
      <c r="U16" s="706"/>
      <c r="V16" s="705"/>
      <c r="W16" s="706"/>
      <c r="X16" s="1354"/>
      <c r="Y16" s="368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2"/>
      <c r="Q17" s="1351" t="str">
        <f>B17</f>
        <v>交通便捷度</v>
      </c>
      <c r="R17" s="705" t="s">
        <v>14</v>
      </c>
      <c r="S17" s="706">
        <f>F17</f>
        <v>100</v>
      </c>
      <c r="T17" s="705" t="s">
        <v>14</v>
      </c>
      <c r="U17" s="706">
        <f>H17</f>
        <v>100</v>
      </c>
      <c r="V17" s="705" t="s">
        <v>14</v>
      </c>
      <c r="W17" s="706">
        <f>J17</f>
        <v>100</v>
      </c>
      <c r="X17" s="1354"/>
      <c r="Y17" s="368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82"/>
      <c r="Q18" s="1351"/>
      <c r="R18" s="705"/>
      <c r="S18" s="706"/>
      <c r="T18" s="705"/>
      <c r="U18" s="706"/>
      <c r="V18" s="705"/>
      <c r="W18" s="706"/>
      <c r="X18" s="1354"/>
      <c r="Y18" s="368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2"/>
      <c r="Q19" s="1351" t="str">
        <f>B19</f>
        <v>公共配套设施</v>
      </c>
      <c r="R19" s="705" t="s">
        <v>14</v>
      </c>
      <c r="S19" s="706">
        <f>F19</f>
        <v>100</v>
      </c>
      <c r="T19" s="705" t="s">
        <v>14</v>
      </c>
      <c r="U19" s="706">
        <f>H19</f>
        <v>100</v>
      </c>
      <c r="V19" s="705" t="s">
        <v>14</v>
      </c>
      <c r="W19" s="706">
        <f>J19</f>
        <v>100</v>
      </c>
      <c r="X19" s="1354"/>
      <c r="Y19" s="368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82"/>
      <c r="Q20" s="1351"/>
      <c r="R20" s="705"/>
      <c r="S20" s="706"/>
      <c r="T20" s="705"/>
      <c r="U20" s="706"/>
      <c r="V20" s="705"/>
      <c r="W20" s="706"/>
      <c r="X20" s="1354"/>
      <c r="Y20" s="3682"/>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2"/>
      <c r="Q21" s="1351" t="str">
        <f>B21</f>
        <v>基础设施水平</v>
      </c>
      <c r="R21" s="705" t="s">
        <v>14</v>
      </c>
      <c r="S21" s="706">
        <f>F21</f>
        <v>100</v>
      </c>
      <c r="T21" s="705" t="s">
        <v>14</v>
      </c>
      <c r="U21" s="706">
        <f>H21</f>
        <v>100</v>
      </c>
      <c r="V21" s="705" t="s">
        <v>14</v>
      </c>
      <c r="W21" s="706">
        <f>J21</f>
        <v>100</v>
      </c>
      <c r="X21" s="1354"/>
      <c r="Y21" s="368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82"/>
      <c r="Q22" s="1351"/>
      <c r="R22" s="705"/>
      <c r="S22" s="706"/>
      <c r="T22" s="705"/>
      <c r="U22" s="706"/>
      <c r="V22" s="705"/>
      <c r="W22" s="706"/>
      <c r="X22" s="1354"/>
      <c r="Y22" s="368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2"/>
      <c r="Q23" s="1351" t="str">
        <f>B23</f>
        <v>环境质量</v>
      </c>
      <c r="R23" s="705" t="s">
        <v>14</v>
      </c>
      <c r="S23" s="706">
        <f>F23</f>
        <v>100</v>
      </c>
      <c r="T23" s="705" t="s">
        <v>14</v>
      </c>
      <c r="U23" s="706">
        <f>H23</f>
        <v>100</v>
      </c>
      <c r="V23" s="705" t="s">
        <v>14</v>
      </c>
      <c r="W23" s="706">
        <f>J23</f>
        <v>100</v>
      </c>
      <c r="X23" s="1354"/>
      <c r="Y23" s="3682"/>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82"/>
      <c r="Q24" s="1351"/>
      <c r="R24" s="705"/>
      <c r="S24" s="706"/>
      <c r="T24" s="705"/>
      <c r="U24" s="706"/>
      <c r="V24" s="705"/>
      <c r="W24" s="706"/>
      <c r="X24" s="1354"/>
      <c r="Y24" s="368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2"/>
      <c r="Q25" s="1351">
        <f>B25</f>
        <v>111</v>
      </c>
      <c r="R25" s="705" t="s">
        <v>14</v>
      </c>
      <c r="S25" s="706">
        <f>F25</f>
        <v>100</v>
      </c>
      <c r="T25" s="705" t="s">
        <v>14</v>
      </c>
      <c r="U25" s="706">
        <f>H25</f>
        <v>100</v>
      </c>
      <c r="V25" s="705" t="s">
        <v>14</v>
      </c>
      <c r="W25" s="706">
        <f>J25</f>
        <v>100</v>
      </c>
      <c r="X25" s="1354"/>
      <c r="Y25" s="368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2"/>
      <c r="Q26" s="1351">
        <f t="shared" ref="Q26:Q40" si="11">B26</f>
        <v>111</v>
      </c>
      <c r="R26" s="705" t="s">
        <v>14</v>
      </c>
      <c r="S26" s="706">
        <f>F26</f>
        <v>100</v>
      </c>
      <c r="T26" s="705" t="s">
        <v>14</v>
      </c>
      <c r="U26" s="706">
        <f>H26</f>
        <v>100</v>
      </c>
      <c r="V26" s="705" t="s">
        <v>14</v>
      </c>
      <c r="W26" s="706">
        <f>J26</f>
        <v>100</v>
      </c>
      <c r="X26" s="1354"/>
      <c r="Y26" s="368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2"/>
      <c r="Q27" s="1342">
        <f t="shared" si="11"/>
        <v>111</v>
      </c>
      <c r="R27" s="701" t="s">
        <v>14</v>
      </c>
      <c r="S27" s="702">
        <f>F27</f>
        <v>100</v>
      </c>
      <c r="T27" s="701" t="s">
        <v>14</v>
      </c>
      <c r="U27" s="702">
        <f>H27</f>
        <v>100</v>
      </c>
      <c r="V27" s="701" t="s">
        <v>14</v>
      </c>
      <c r="W27" s="702">
        <f>J27</f>
        <v>100</v>
      </c>
      <c r="X27" s="703"/>
      <c r="Y27" s="3682"/>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2"/>
      <c r="Q28" s="1351">
        <f t="shared" si="11"/>
        <v>111</v>
      </c>
      <c r="R28" s="705" t="s">
        <v>14</v>
      </c>
      <c r="S28" s="706">
        <f t="shared" ref="S28:S40" si="12">F28</f>
        <v>100</v>
      </c>
      <c r="T28" s="705" t="s">
        <v>14</v>
      </c>
      <c r="U28" s="706">
        <f t="shared" ref="U28:U40" si="13">H28</f>
        <v>100</v>
      </c>
      <c r="V28" s="705" t="s">
        <v>14</v>
      </c>
      <c r="W28" s="706">
        <f t="shared" ref="W28:W40" si="14">J28</f>
        <v>100</v>
      </c>
      <c r="X28" s="1354"/>
      <c r="Y28" s="3682"/>
      <c r="Z28" s="1355">
        <f t="shared" ref="Z28:Z40" si="15">Q28</f>
        <v>111</v>
      </c>
      <c r="AA28" s="1352">
        <f t="shared" si="3"/>
        <v>1</v>
      </c>
      <c r="AB28" s="1352">
        <f t="shared" si="4"/>
        <v>1</v>
      </c>
      <c r="AC28" s="1352">
        <f t="shared" si="5"/>
        <v>1</v>
      </c>
    </row>
    <row r="29" spans="1:29" ht="1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60" t="s">
        <v>1696</v>
      </c>
      <c r="Q29" s="1351" t="str">
        <f t="shared" si="11"/>
        <v>建筑类型</v>
      </c>
      <c r="R29" s="705" t="s">
        <v>14</v>
      </c>
      <c r="S29" s="706">
        <f t="shared" si="12"/>
        <v>100</v>
      </c>
      <c r="T29" s="705" t="s">
        <v>14</v>
      </c>
      <c r="U29" s="706">
        <f t="shared" si="13"/>
        <v>100</v>
      </c>
      <c r="V29" s="705" t="s">
        <v>14</v>
      </c>
      <c r="W29" s="706">
        <f t="shared" si="14"/>
        <v>100</v>
      </c>
      <c r="X29" s="1354"/>
      <c r="Y29" s="368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6"/>
      <c r="Q30" s="707" t="str">
        <f t="shared" si="11"/>
        <v>项目建筑规模</v>
      </c>
      <c r="R30" s="708" t="s">
        <v>14</v>
      </c>
      <c r="S30" s="709" t="e">
        <f t="shared" si="12"/>
        <v>#N/A</v>
      </c>
      <c r="T30" s="708" t="s">
        <v>14</v>
      </c>
      <c r="U30" s="709" t="e">
        <f t="shared" si="13"/>
        <v>#N/A</v>
      </c>
      <c r="V30" s="708" t="s">
        <v>14</v>
      </c>
      <c r="W30" s="709" t="e">
        <f t="shared" si="14"/>
        <v>#N/A</v>
      </c>
      <c r="X30" s="710"/>
      <c r="Y30" s="368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6"/>
      <c r="Q31" s="1351" t="str">
        <f t="shared" si="11"/>
        <v>建筑结构</v>
      </c>
      <c r="R31" s="705" t="s">
        <v>14</v>
      </c>
      <c r="S31" s="706">
        <f t="shared" si="12"/>
        <v>100</v>
      </c>
      <c r="T31" s="705" t="s">
        <v>14</v>
      </c>
      <c r="U31" s="706">
        <f t="shared" si="13"/>
        <v>100</v>
      </c>
      <c r="V31" s="705" t="s">
        <v>14</v>
      </c>
      <c r="W31" s="706">
        <f t="shared" si="14"/>
        <v>100</v>
      </c>
      <c r="X31" s="1354"/>
      <c r="Y31" s="368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6"/>
      <c r="Q32" s="1351" t="str">
        <f t="shared" si="11"/>
        <v>公共部分装修</v>
      </c>
      <c r="R32" s="705" t="s">
        <v>14</v>
      </c>
      <c r="S32" s="706">
        <f t="shared" si="12"/>
        <v>100</v>
      </c>
      <c r="T32" s="705" t="s">
        <v>14</v>
      </c>
      <c r="U32" s="706">
        <f t="shared" si="13"/>
        <v>100</v>
      </c>
      <c r="V32" s="705" t="s">
        <v>14</v>
      </c>
      <c r="W32" s="706">
        <f t="shared" si="14"/>
        <v>100</v>
      </c>
      <c r="X32" s="1354"/>
      <c r="Y32" s="368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6"/>
      <c r="Q33" s="1351" t="str">
        <f t="shared" si="11"/>
        <v>成新度</v>
      </c>
      <c r="R33" s="705" t="s">
        <v>14</v>
      </c>
      <c r="S33" s="706" t="e">
        <f t="shared" si="12"/>
        <v>#N/A</v>
      </c>
      <c r="T33" s="705" t="s">
        <v>14</v>
      </c>
      <c r="U33" s="706" t="e">
        <f t="shared" si="13"/>
        <v>#N/A</v>
      </c>
      <c r="V33" s="705" t="s">
        <v>14</v>
      </c>
      <c r="W33" s="706" t="e">
        <f t="shared" si="14"/>
        <v>#N/A</v>
      </c>
      <c r="X33" s="1354"/>
      <c r="Y33" s="368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6"/>
      <c r="Q34" s="1342" t="str">
        <f t="shared" si="11"/>
        <v>物业管理</v>
      </c>
      <c r="R34" s="701" t="s">
        <v>14</v>
      </c>
      <c r="S34" s="702">
        <f t="shared" si="12"/>
        <v>100</v>
      </c>
      <c r="T34" s="701" t="s">
        <v>14</v>
      </c>
      <c r="U34" s="702">
        <f t="shared" si="13"/>
        <v>100</v>
      </c>
      <c r="V34" s="701" t="s">
        <v>14</v>
      </c>
      <c r="W34" s="702">
        <f t="shared" si="14"/>
        <v>100</v>
      </c>
      <c r="X34" s="703"/>
      <c r="Y34" s="368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6" t="s">
        <v>1696</v>
      </c>
      <c r="Q35" s="1351" t="str">
        <f t="shared" si="11"/>
        <v>市政基础设施</v>
      </c>
      <c r="R35" s="705" t="s">
        <v>14</v>
      </c>
      <c r="S35" s="706">
        <f t="shared" si="12"/>
        <v>100</v>
      </c>
      <c r="T35" s="705" t="s">
        <v>14</v>
      </c>
      <c r="U35" s="706">
        <f t="shared" si="13"/>
        <v>100</v>
      </c>
      <c r="V35" s="705" t="s">
        <v>14</v>
      </c>
      <c r="W35" s="706">
        <f t="shared" si="14"/>
        <v>100</v>
      </c>
      <c r="X35" s="1354"/>
      <c r="Y35" s="368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6"/>
      <c r="Q36" s="1351" t="str">
        <f t="shared" si="11"/>
        <v>内部装修</v>
      </c>
      <c r="R36" s="705" t="s">
        <v>14</v>
      </c>
      <c r="S36" s="706">
        <f t="shared" si="12"/>
        <v>100</v>
      </c>
      <c r="T36" s="705" t="s">
        <v>14</v>
      </c>
      <c r="U36" s="706">
        <f t="shared" si="13"/>
        <v>100</v>
      </c>
      <c r="V36" s="705" t="s">
        <v>14</v>
      </c>
      <c r="W36" s="706">
        <f t="shared" si="14"/>
        <v>100</v>
      </c>
      <c r="X36" s="1354"/>
      <c r="Y36" s="368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6"/>
      <c r="Q37" s="1351" t="str">
        <f t="shared" si="11"/>
        <v>内部装修状况</v>
      </c>
      <c r="R37" s="705" t="s">
        <v>14</v>
      </c>
      <c r="S37" s="706">
        <f t="shared" si="12"/>
        <v>100</v>
      </c>
      <c r="T37" s="705" t="s">
        <v>14</v>
      </c>
      <c r="U37" s="706">
        <f t="shared" si="13"/>
        <v>100</v>
      </c>
      <c r="V37" s="705" t="s">
        <v>14</v>
      </c>
      <c r="W37" s="706">
        <f t="shared" si="14"/>
        <v>100</v>
      </c>
      <c r="X37" s="1354"/>
      <c r="Y37" s="368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6"/>
      <c r="Q38" s="707">
        <f t="shared" si="11"/>
        <v>111</v>
      </c>
      <c r="R38" s="708" t="s">
        <v>14</v>
      </c>
      <c r="S38" s="709">
        <f t="shared" si="12"/>
        <v>100</v>
      </c>
      <c r="T38" s="708" t="s">
        <v>14</v>
      </c>
      <c r="U38" s="709">
        <f t="shared" si="13"/>
        <v>100</v>
      </c>
      <c r="V38" s="708" t="s">
        <v>14</v>
      </c>
      <c r="W38" s="709">
        <f t="shared" si="14"/>
        <v>100</v>
      </c>
      <c r="X38" s="710"/>
      <c r="Y38" s="368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6"/>
      <c r="Q39" s="1351">
        <f t="shared" si="11"/>
        <v>111</v>
      </c>
      <c r="R39" s="705" t="s">
        <v>14</v>
      </c>
      <c r="S39" s="706">
        <f t="shared" si="12"/>
        <v>100</v>
      </c>
      <c r="T39" s="705" t="s">
        <v>14</v>
      </c>
      <c r="U39" s="706">
        <f t="shared" si="13"/>
        <v>100</v>
      </c>
      <c r="V39" s="705" t="s">
        <v>14</v>
      </c>
      <c r="W39" s="706">
        <f t="shared" si="14"/>
        <v>100</v>
      </c>
      <c r="X39" s="1354"/>
      <c r="Y39" s="368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7"/>
      <c r="Q40" s="1351">
        <f t="shared" si="11"/>
        <v>111</v>
      </c>
      <c r="R40" s="705" t="s">
        <v>14</v>
      </c>
      <c r="S40" s="706">
        <f t="shared" si="12"/>
        <v>100</v>
      </c>
      <c r="T40" s="705" t="s">
        <v>14</v>
      </c>
      <c r="U40" s="706">
        <f t="shared" si="13"/>
        <v>100</v>
      </c>
      <c r="V40" s="705" t="s">
        <v>14</v>
      </c>
      <c r="W40" s="706">
        <f t="shared" si="14"/>
        <v>100</v>
      </c>
      <c r="X40" s="1354"/>
      <c r="Y40" s="3687"/>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79" t="str">
        <f>A41</f>
        <v>成交单价（元/平方米）</v>
      </c>
      <c r="Q41" s="3679"/>
      <c r="R41" s="3680">
        <f>E41</f>
        <v>0</v>
      </c>
      <c r="S41" s="3680"/>
      <c r="T41" s="3680">
        <f>G41</f>
        <v>0</v>
      </c>
      <c r="U41" s="3680"/>
      <c r="V41" s="3680">
        <f>I41</f>
        <v>0</v>
      </c>
      <c r="W41" s="3680"/>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5.5" style="357" customWidth="1"/>
    <col min="10" max="10" width="12.125" style="357" customWidth="1"/>
    <col min="11" max="11" width="12.125" style="444" customWidth="1"/>
    <col min="12" max="12" width="12.125" style="445" customWidth="1"/>
    <col min="13" max="15" width="12.125" style="357" customWidth="1"/>
    <col min="16" max="16" width="4.625" style="906"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2"/>
      <c r="M4" s="2713"/>
      <c r="N4" s="2713"/>
      <c r="O4" s="2713"/>
      <c r="P4" s="3698" t="s">
        <v>1775</v>
      </c>
      <c r="Q4" s="3699"/>
      <c r="R4" s="3704" t="s">
        <v>1771</v>
      </c>
      <c r="S4" s="3705"/>
      <c r="T4" s="3704" t="s">
        <v>1772</v>
      </c>
      <c r="U4" s="3705"/>
      <c r="V4" s="3710" t="s">
        <v>1773</v>
      </c>
      <c r="W4" s="3710"/>
      <c r="X4" s="1354"/>
      <c r="Y4" s="3704" t="s">
        <v>1775</v>
      </c>
      <c r="Z4" s="3705"/>
      <c r="AA4" s="3691" t="s">
        <v>1771</v>
      </c>
      <c r="AB4" s="3692" t="s">
        <v>1772</v>
      </c>
      <c r="AC4" s="3691" t="s">
        <v>1773</v>
      </c>
    </row>
    <row r="5" spans="1:29" ht="15">
      <c r="A5" s="358"/>
      <c r="B5" s="359"/>
      <c r="C5" s="3713" t="s">
        <v>1673</v>
      </c>
      <c r="D5" s="3714"/>
      <c r="E5" s="3722" t="s">
        <v>1674</v>
      </c>
      <c r="F5" s="3723"/>
      <c r="G5" s="3713" t="s">
        <v>1675</v>
      </c>
      <c r="H5" s="3714"/>
      <c r="I5" s="3713" t="s">
        <v>1676</v>
      </c>
      <c r="J5" s="3714"/>
      <c r="K5" s="559"/>
      <c r="L5" s="2712"/>
      <c r="M5" s="2713"/>
      <c r="N5" s="2713"/>
      <c r="O5" s="2713"/>
      <c r="P5" s="3700"/>
      <c r="Q5" s="3701"/>
      <c r="R5" s="3706"/>
      <c r="S5" s="3707"/>
      <c r="T5" s="3706"/>
      <c r="U5" s="3707"/>
      <c r="V5" s="3710"/>
      <c r="W5" s="3710"/>
      <c r="X5" s="1354"/>
      <c r="Y5" s="3706"/>
      <c r="Z5" s="3707"/>
      <c r="AA5" s="3692"/>
      <c r="AB5" s="3692"/>
      <c r="AC5" s="3692"/>
    </row>
    <row r="6" spans="1:29" ht="15.75" thickBot="1">
      <c r="A6" s="360"/>
      <c r="B6" s="361"/>
      <c r="C6" s="3711" t="s">
        <v>1677</v>
      </c>
      <c r="D6" s="3712"/>
      <c r="E6" s="3720" t="s">
        <v>1677</v>
      </c>
      <c r="F6" s="3721"/>
      <c r="G6" s="3711" t="s">
        <v>1677</v>
      </c>
      <c r="H6" s="3712"/>
      <c r="I6" s="3711" t="s">
        <v>1677</v>
      </c>
      <c r="J6" s="3712"/>
      <c r="K6" s="559" t="s">
        <v>1678</v>
      </c>
      <c r="L6" s="2712"/>
      <c r="M6" s="2713"/>
      <c r="N6" s="2713"/>
      <c r="O6" s="2713"/>
      <c r="P6" s="3702"/>
      <c r="Q6" s="3703"/>
      <c r="R6" s="3706"/>
      <c r="S6" s="3707"/>
      <c r="T6" s="3708"/>
      <c r="U6" s="3709"/>
      <c r="V6" s="3710"/>
      <c r="W6" s="3710"/>
      <c r="X6" s="1354"/>
      <c r="Y6" s="3708"/>
      <c r="Z6" s="3709"/>
      <c r="AA6" s="3693"/>
      <c r="AB6" s="3693"/>
      <c r="AC6" s="3693"/>
    </row>
    <row r="7" spans="1:29" s="108" customFormat="1" ht="15.75" thickBot="1">
      <c r="A7" s="362" t="s">
        <v>1679</v>
      </c>
      <c r="B7" s="363"/>
      <c r="C7" s="364">
        <f>'数据-取费表'!B2</f>
        <v>45131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15" t="s">
        <v>1680</v>
      </c>
      <c r="Q7" s="3717"/>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15" t="s">
        <v>1683</v>
      </c>
      <c r="Q8" s="3716"/>
      <c r="R8" s="701" t="s">
        <v>14</v>
      </c>
      <c r="S8" s="702">
        <f t="shared" si="0"/>
        <v>100</v>
      </c>
      <c r="T8" s="701" t="s">
        <v>14</v>
      </c>
      <c r="U8" s="702">
        <f t="shared" si="1"/>
        <v>100</v>
      </c>
      <c r="V8" s="701" t="s">
        <v>14</v>
      </c>
      <c r="W8" s="702">
        <f t="shared" si="2"/>
        <v>100</v>
      </c>
      <c r="X8" s="703"/>
      <c r="Y8" s="3715" t="s">
        <v>1683</v>
      </c>
      <c r="Z8" s="371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79" t="s">
        <v>1686</v>
      </c>
      <c r="Q9" s="1342"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79"/>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79"/>
      <c r="Q11" s="1342">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79"/>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79"/>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81" t="s">
        <v>1691</v>
      </c>
      <c r="Q14" s="1351" t="str">
        <f t="shared" si="6"/>
        <v>交通便捷度</v>
      </c>
      <c r="R14" s="705" t="s">
        <v>14</v>
      </c>
      <c r="S14" s="706">
        <f t="shared" si="0"/>
        <v>100</v>
      </c>
      <c r="T14" s="705" t="s">
        <v>14</v>
      </c>
      <c r="U14" s="706">
        <f t="shared" si="1"/>
        <v>100</v>
      </c>
      <c r="V14" s="705" t="s">
        <v>14</v>
      </c>
      <c r="W14" s="706">
        <f t="shared" si="2"/>
        <v>100</v>
      </c>
      <c r="X14" s="1354"/>
      <c r="Y14" s="368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682"/>
      <c r="Q15" s="1351"/>
      <c r="R15" s="705"/>
      <c r="S15" s="706"/>
      <c r="T15" s="705"/>
      <c r="U15" s="706"/>
      <c r="V15" s="705"/>
      <c r="W15" s="706"/>
      <c r="X15" s="1354"/>
      <c r="Y15" s="3682"/>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82"/>
      <c r="Q16" s="1351" t="str">
        <f>B16</f>
        <v>公共配套设施</v>
      </c>
      <c r="R16" s="705" t="s">
        <v>14</v>
      </c>
      <c r="S16" s="706">
        <f>F16</f>
        <v>100</v>
      </c>
      <c r="T16" s="705" t="s">
        <v>14</v>
      </c>
      <c r="U16" s="706">
        <f>H16</f>
        <v>100</v>
      </c>
      <c r="V16" s="705" t="s">
        <v>14</v>
      </c>
      <c r="W16" s="706">
        <f>J16</f>
        <v>100</v>
      </c>
      <c r="X16" s="1354"/>
      <c r="Y16" s="368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682"/>
      <c r="Q17" s="1351"/>
      <c r="R17" s="705"/>
      <c r="S17" s="706"/>
      <c r="T17" s="705"/>
      <c r="U17" s="706"/>
      <c r="V17" s="705"/>
      <c r="W17" s="706"/>
      <c r="X17" s="1354"/>
      <c r="Y17" s="3682"/>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82"/>
      <c r="Q18" s="1351" t="str">
        <f>B18</f>
        <v>基础设施水平</v>
      </c>
      <c r="R18" s="705" t="s">
        <v>14</v>
      </c>
      <c r="S18" s="706">
        <f>F18</f>
        <v>100</v>
      </c>
      <c r="T18" s="705" t="s">
        <v>14</v>
      </c>
      <c r="U18" s="706">
        <f>H18</f>
        <v>100</v>
      </c>
      <c r="V18" s="705" t="s">
        <v>14</v>
      </c>
      <c r="W18" s="706">
        <f>J18</f>
        <v>100</v>
      </c>
      <c r="X18" s="1354"/>
      <c r="Y18" s="368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9"/>
      <c r="M19" s="2713"/>
      <c r="N19" s="2713"/>
      <c r="O19" s="2713"/>
      <c r="P19" s="3682"/>
      <c r="Q19" s="1351"/>
      <c r="R19" s="705"/>
      <c r="S19" s="706"/>
      <c r="T19" s="705"/>
      <c r="U19" s="706"/>
      <c r="V19" s="705"/>
      <c r="W19" s="706"/>
      <c r="X19" s="1354"/>
      <c r="Y19" s="3682"/>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82"/>
      <c r="Q20" s="1351" t="str">
        <f>B20</f>
        <v>自然及人文环境</v>
      </c>
      <c r="R20" s="705" t="s">
        <v>14</v>
      </c>
      <c r="S20" s="706">
        <f>F20</f>
        <v>100</v>
      </c>
      <c r="T20" s="705" t="s">
        <v>14</v>
      </c>
      <c r="U20" s="706">
        <f>H20</f>
        <v>100</v>
      </c>
      <c r="V20" s="705" t="s">
        <v>14</v>
      </c>
      <c r="W20" s="706">
        <f>J20</f>
        <v>100</v>
      </c>
      <c r="X20" s="1354"/>
      <c r="Y20" s="368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682"/>
      <c r="Q21" s="1351"/>
      <c r="R21" s="705"/>
      <c r="S21" s="706"/>
      <c r="T21" s="705"/>
      <c r="U21" s="706"/>
      <c r="V21" s="705"/>
      <c r="W21" s="706"/>
      <c r="X21" s="1354"/>
      <c r="Y21" s="368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82"/>
      <c r="Q22" s="1351" t="str">
        <f>B22</f>
        <v>楼层</v>
      </c>
      <c r="R22" s="705" t="s">
        <v>14</v>
      </c>
      <c r="S22" s="706">
        <f>F22</f>
        <v>100</v>
      </c>
      <c r="T22" s="705" t="s">
        <v>14</v>
      </c>
      <c r="U22" s="706">
        <f>H22</f>
        <v>100</v>
      </c>
      <c r="V22" s="705" t="s">
        <v>14</v>
      </c>
      <c r="W22" s="706">
        <f>J22</f>
        <v>100</v>
      </c>
      <c r="X22" s="1354"/>
      <c r="Y22" s="368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82"/>
      <c r="Q23" s="1351">
        <f>B23</f>
        <v>111</v>
      </c>
      <c r="R23" s="705" t="s">
        <v>14</v>
      </c>
      <c r="S23" s="706">
        <f>F23</f>
        <v>100</v>
      </c>
      <c r="T23" s="705" t="s">
        <v>14</v>
      </c>
      <c r="U23" s="706">
        <f>H23</f>
        <v>100</v>
      </c>
      <c r="V23" s="705" t="s">
        <v>14</v>
      </c>
      <c r="W23" s="706">
        <f>J23</f>
        <v>100</v>
      </c>
      <c r="X23" s="1354"/>
      <c r="Y23" s="368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82"/>
      <c r="Q24" s="1351">
        <f t="shared" ref="Q24:Q36" si="11">B24</f>
        <v>111</v>
      </c>
      <c r="R24" s="705" t="s">
        <v>14</v>
      </c>
      <c r="S24" s="706">
        <f>F24</f>
        <v>100</v>
      </c>
      <c r="T24" s="705" t="s">
        <v>14</v>
      </c>
      <c r="U24" s="706">
        <f>H24</f>
        <v>100</v>
      </c>
      <c r="V24" s="705" t="s">
        <v>14</v>
      </c>
      <c r="W24" s="706">
        <f>J24</f>
        <v>100</v>
      </c>
      <c r="X24" s="1354"/>
      <c r="Y24" s="368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82"/>
      <c r="Q25" s="1342">
        <f t="shared" si="11"/>
        <v>111</v>
      </c>
      <c r="R25" s="701" t="s">
        <v>14</v>
      </c>
      <c r="S25" s="702">
        <f>F25</f>
        <v>100</v>
      </c>
      <c r="T25" s="701" t="s">
        <v>14</v>
      </c>
      <c r="U25" s="702">
        <f>H25</f>
        <v>100</v>
      </c>
      <c r="V25" s="701" t="s">
        <v>14</v>
      </c>
      <c r="W25" s="702">
        <f>J25</f>
        <v>100</v>
      </c>
      <c r="X25" s="703"/>
      <c r="Y25" s="3682"/>
      <c r="Z25" s="52">
        <f>Q25</f>
        <v>111</v>
      </c>
      <c r="AA25" s="1352">
        <f>D25/F25</f>
        <v>1</v>
      </c>
      <c r="AB25" s="1352">
        <f>D25/H25</f>
        <v>1</v>
      </c>
      <c r="AC25" s="1352">
        <f>D25/J25</f>
        <v>1</v>
      </c>
    </row>
    <row r="26" spans="1:29" ht="1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6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86"/>
      <c r="Q27" s="707" t="str">
        <f t="shared" si="11"/>
        <v>项目停车位配比</v>
      </c>
      <c r="R27" s="708" t="s">
        <v>14</v>
      </c>
      <c r="S27" s="709">
        <f t="shared" si="12"/>
        <v>100</v>
      </c>
      <c r="T27" s="708" t="s">
        <v>14</v>
      </c>
      <c r="U27" s="709">
        <f t="shared" si="13"/>
        <v>100</v>
      </c>
      <c r="V27" s="708" t="s">
        <v>14</v>
      </c>
      <c r="W27" s="709">
        <f t="shared" si="14"/>
        <v>100</v>
      </c>
      <c r="X27" s="710"/>
      <c r="Y27" s="368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86"/>
      <c r="Q28" s="1351" t="str">
        <f t="shared" si="11"/>
        <v>公共部分装修</v>
      </c>
      <c r="R28" s="705" t="s">
        <v>14</v>
      </c>
      <c r="S28" s="706">
        <f t="shared" si="12"/>
        <v>100</v>
      </c>
      <c r="T28" s="705" t="s">
        <v>14</v>
      </c>
      <c r="U28" s="706">
        <f t="shared" si="13"/>
        <v>100</v>
      </c>
      <c r="V28" s="705" t="s">
        <v>14</v>
      </c>
      <c r="W28" s="706">
        <f t="shared" si="14"/>
        <v>100</v>
      </c>
      <c r="X28" s="1354"/>
      <c r="Y28" s="368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86"/>
      <c r="Q29" s="1351" t="str">
        <f t="shared" si="11"/>
        <v>成新率</v>
      </c>
      <c r="R29" s="705" t="s">
        <v>14</v>
      </c>
      <c r="S29" s="706" t="e">
        <f t="shared" si="12"/>
        <v>#N/A</v>
      </c>
      <c r="T29" s="705" t="s">
        <v>14</v>
      </c>
      <c r="U29" s="706" t="e">
        <f t="shared" si="13"/>
        <v>#N/A</v>
      </c>
      <c r="V29" s="705" t="s">
        <v>14</v>
      </c>
      <c r="W29" s="706" t="e">
        <f t="shared" si="14"/>
        <v>#N/A</v>
      </c>
      <c r="X29" s="1354"/>
      <c r="Y29" s="368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86"/>
      <c r="Q30" s="1351" t="str">
        <f t="shared" si="11"/>
        <v>物业等级</v>
      </c>
      <c r="R30" s="705" t="s">
        <v>14</v>
      </c>
      <c r="S30" s="706">
        <f t="shared" si="12"/>
        <v>100</v>
      </c>
      <c r="T30" s="705" t="s">
        <v>14</v>
      </c>
      <c r="U30" s="706">
        <f t="shared" si="13"/>
        <v>100</v>
      </c>
      <c r="V30" s="705" t="s">
        <v>14</v>
      </c>
      <c r="W30" s="706">
        <f t="shared" si="14"/>
        <v>100</v>
      </c>
      <c r="X30" s="1354"/>
      <c r="Y30" s="368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86"/>
      <c r="Q31" s="1342" t="str">
        <f t="shared" si="11"/>
        <v>停车位面积</v>
      </c>
      <c r="R31" s="701" t="s">
        <v>14</v>
      </c>
      <c r="S31" s="702" t="e">
        <f t="shared" si="12"/>
        <v>#N/A</v>
      </c>
      <c r="T31" s="701" t="s">
        <v>14</v>
      </c>
      <c r="U31" s="702" t="e">
        <f t="shared" si="13"/>
        <v>#N/A</v>
      </c>
      <c r="V31" s="701" t="s">
        <v>14</v>
      </c>
      <c r="W31" s="702" t="e">
        <f t="shared" si="14"/>
        <v>#N/A</v>
      </c>
      <c r="X31" s="703"/>
      <c r="Y31" s="368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86" t="s">
        <v>1696</v>
      </c>
      <c r="Q32" s="1351" t="str">
        <f t="shared" si="11"/>
        <v>车位类型</v>
      </c>
      <c r="R32" s="705" t="s">
        <v>14</v>
      </c>
      <c r="S32" s="706">
        <f t="shared" si="12"/>
        <v>100</v>
      </c>
      <c r="T32" s="705" t="s">
        <v>14</v>
      </c>
      <c r="U32" s="706">
        <f t="shared" si="13"/>
        <v>100</v>
      </c>
      <c r="V32" s="705" t="s">
        <v>14</v>
      </c>
      <c r="W32" s="706">
        <f t="shared" si="14"/>
        <v>100</v>
      </c>
      <c r="X32" s="1354"/>
      <c r="Y32" s="368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86"/>
      <c r="Q33" s="1351" t="str">
        <f t="shared" si="11"/>
        <v>是否直接入户</v>
      </c>
      <c r="R33" s="705" t="s">
        <v>14</v>
      </c>
      <c r="S33" s="706">
        <f t="shared" si="12"/>
        <v>100</v>
      </c>
      <c r="T33" s="705" t="s">
        <v>14</v>
      </c>
      <c r="U33" s="706">
        <f t="shared" si="13"/>
        <v>100</v>
      </c>
      <c r="V33" s="705" t="s">
        <v>14</v>
      </c>
      <c r="W33" s="706">
        <f t="shared" si="14"/>
        <v>100</v>
      </c>
      <c r="X33" s="1354"/>
      <c r="Y33" s="368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86"/>
      <c r="Q34" s="1351">
        <f t="shared" si="11"/>
        <v>111</v>
      </c>
      <c r="R34" s="705" t="s">
        <v>14</v>
      </c>
      <c r="S34" s="706">
        <f t="shared" si="12"/>
        <v>100</v>
      </c>
      <c r="T34" s="705" t="s">
        <v>14</v>
      </c>
      <c r="U34" s="706">
        <f t="shared" si="13"/>
        <v>100</v>
      </c>
      <c r="V34" s="705" t="s">
        <v>14</v>
      </c>
      <c r="W34" s="706">
        <f t="shared" si="14"/>
        <v>100</v>
      </c>
      <c r="X34" s="1354"/>
      <c r="Y34" s="368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86"/>
      <c r="Q35" s="707">
        <f t="shared" si="11"/>
        <v>111</v>
      </c>
      <c r="R35" s="708" t="s">
        <v>14</v>
      </c>
      <c r="S35" s="709">
        <f t="shared" si="12"/>
        <v>100</v>
      </c>
      <c r="T35" s="708" t="s">
        <v>14</v>
      </c>
      <c r="U35" s="709">
        <f t="shared" si="13"/>
        <v>100</v>
      </c>
      <c r="V35" s="708" t="s">
        <v>14</v>
      </c>
      <c r="W35" s="709">
        <f t="shared" si="14"/>
        <v>100</v>
      </c>
      <c r="X35" s="710"/>
      <c r="Y35" s="368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86"/>
      <c r="Q36" s="1351">
        <f t="shared" si="11"/>
        <v>111</v>
      </c>
      <c r="R36" s="705" t="s">
        <v>14</v>
      </c>
      <c r="S36" s="706">
        <f t="shared" si="12"/>
        <v>100</v>
      </c>
      <c r="T36" s="705" t="s">
        <v>14</v>
      </c>
      <c r="U36" s="706">
        <f t="shared" si="13"/>
        <v>100</v>
      </c>
      <c r="V36" s="705" t="s">
        <v>14</v>
      </c>
      <c r="W36" s="706">
        <f t="shared" si="14"/>
        <v>100</v>
      </c>
      <c r="X36" s="1354"/>
      <c r="Y36" s="3686"/>
      <c r="Z36" s="1355">
        <f t="shared" si="15"/>
        <v>111</v>
      </c>
      <c r="AA36" s="1352">
        <f t="shared" si="3"/>
        <v>1</v>
      </c>
      <c r="AB36" s="1352">
        <f t="shared" si="4"/>
        <v>1</v>
      </c>
      <c r="AC36" s="1352">
        <f t="shared" si="5"/>
        <v>1</v>
      </c>
    </row>
    <row r="37" spans="1:29" ht="15">
      <c r="A37" s="430" t="s">
        <v>1844</v>
      </c>
      <c r="B37" s="1970" t="s">
        <v>3361</v>
      </c>
      <c r="C37" s="1154" t="s">
        <v>0</v>
      </c>
      <c r="D37" s="1155"/>
      <c r="E37" s="1156"/>
      <c r="F37" s="1157"/>
      <c r="G37" s="1158"/>
      <c r="H37" s="1159"/>
      <c r="I37" s="1156"/>
      <c r="J37" s="1159"/>
      <c r="K37" s="568"/>
      <c r="L37" s="2721"/>
      <c r="M37" s="2722"/>
      <c r="N37" s="2713"/>
      <c r="O37" s="2722"/>
      <c r="P37" s="3679" t="str">
        <f>A37</f>
        <v>成交单价</v>
      </c>
      <c r="Q37" s="3679"/>
      <c r="R37" s="3680">
        <f>E37</f>
        <v>0</v>
      </c>
      <c r="S37" s="3680"/>
      <c r="T37" s="3680">
        <f>G37</f>
        <v>0</v>
      </c>
      <c r="U37" s="3680"/>
      <c r="V37" s="3680">
        <f>I37</f>
        <v>0</v>
      </c>
      <c r="W37" s="3680"/>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1"/>
      <c r="M38" s="2722"/>
      <c r="N38" s="2722"/>
      <c r="O38" s="2722"/>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76" t="str">
        <f>A39</f>
        <v>估价对象XX用房的比较价值（楼面单价，元/平方米）</v>
      </c>
      <c r="Q39" s="3677"/>
      <c r="R39" s="3761" t="e">
        <f>IF(F1="售价",ROUND(IF(D38="简单平均",AVERAGE(R38:W38),R38*F38+T38*H38+V38*J38),0),ROUND(IF(D38="简单平均",AVERAGE(R38:V38),R38*F38+T38*H38+V38*J38),1))</f>
        <v>#DIV/0!</v>
      </c>
      <c r="S39" s="3761"/>
      <c r="T39" s="3761"/>
      <c r="U39" s="3761"/>
      <c r="V39" s="3761"/>
      <c r="W39" s="376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2"/>
      <c r="M4" s="2713"/>
      <c r="N4" s="2713"/>
      <c r="O4" s="2713"/>
      <c r="P4" s="3698" t="s">
        <v>1775</v>
      </c>
      <c r="Q4" s="3699"/>
      <c r="R4" s="3704" t="s">
        <v>1771</v>
      </c>
      <c r="S4" s="3705"/>
      <c r="T4" s="3704" t="s">
        <v>1772</v>
      </c>
      <c r="U4" s="3705"/>
      <c r="V4" s="3710" t="s">
        <v>1773</v>
      </c>
      <c r="W4" s="3710"/>
      <c r="X4" s="1354"/>
      <c r="Y4" s="3704" t="s">
        <v>1775</v>
      </c>
      <c r="Z4" s="3705"/>
      <c r="AA4" s="3691" t="s">
        <v>1771</v>
      </c>
      <c r="AB4" s="3692" t="s">
        <v>1772</v>
      </c>
      <c r="AC4" s="3691" t="s">
        <v>1773</v>
      </c>
    </row>
    <row r="5" spans="1:29" ht="15">
      <c r="A5" s="358"/>
      <c r="B5" s="359"/>
      <c r="C5" s="3713" t="s">
        <v>1673</v>
      </c>
      <c r="D5" s="3714"/>
      <c r="E5" s="3722" t="s">
        <v>1674</v>
      </c>
      <c r="F5" s="3723"/>
      <c r="G5" s="3713" t="s">
        <v>1675</v>
      </c>
      <c r="H5" s="3714"/>
      <c r="I5" s="3713" t="s">
        <v>1676</v>
      </c>
      <c r="J5" s="3714"/>
      <c r="K5" s="559"/>
      <c r="L5" s="2712"/>
      <c r="M5" s="2713"/>
      <c r="N5" s="2713"/>
      <c r="O5" s="2713"/>
      <c r="P5" s="3700"/>
      <c r="Q5" s="3701"/>
      <c r="R5" s="3706"/>
      <c r="S5" s="3707"/>
      <c r="T5" s="3706"/>
      <c r="U5" s="3707"/>
      <c r="V5" s="3710"/>
      <c r="W5" s="3710"/>
      <c r="X5" s="1354"/>
      <c r="Y5" s="3706"/>
      <c r="Z5" s="3707"/>
      <c r="AA5" s="3692"/>
      <c r="AB5" s="3692"/>
      <c r="AC5" s="3692"/>
    </row>
    <row r="6" spans="1:29" ht="15.75" thickBot="1">
      <c r="A6" s="360"/>
      <c r="B6" s="361"/>
      <c r="C6" s="3711" t="s">
        <v>1677</v>
      </c>
      <c r="D6" s="3712"/>
      <c r="E6" s="3720" t="s">
        <v>1677</v>
      </c>
      <c r="F6" s="3721"/>
      <c r="G6" s="3711" t="s">
        <v>1677</v>
      </c>
      <c r="H6" s="3712"/>
      <c r="I6" s="3711" t="s">
        <v>1677</v>
      </c>
      <c r="J6" s="3712"/>
      <c r="K6" s="559" t="s">
        <v>1678</v>
      </c>
      <c r="L6" s="2712"/>
      <c r="M6" s="2713"/>
      <c r="N6" s="2713"/>
      <c r="O6" s="2713"/>
      <c r="P6" s="3702"/>
      <c r="Q6" s="3703"/>
      <c r="R6" s="3706"/>
      <c r="S6" s="3707"/>
      <c r="T6" s="3708"/>
      <c r="U6" s="3709"/>
      <c r="V6" s="3710"/>
      <c r="W6" s="3710"/>
      <c r="X6" s="1354"/>
      <c r="Y6" s="3708"/>
      <c r="Z6" s="3709"/>
      <c r="AA6" s="3693"/>
      <c r="AB6" s="3693"/>
      <c r="AC6" s="3693"/>
    </row>
    <row r="7" spans="1:29" s="108" customFormat="1" ht="15.75" thickBot="1">
      <c r="A7" s="362" t="s">
        <v>1679</v>
      </c>
      <c r="B7" s="363"/>
      <c r="C7" s="364">
        <f>'数据-取费表'!B2</f>
        <v>45131</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15" t="s">
        <v>1680</v>
      </c>
      <c r="Q7" s="3717"/>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15" t="s">
        <v>1683</v>
      </c>
      <c r="Q8" s="3716"/>
      <c r="R8" s="701" t="s">
        <v>14</v>
      </c>
      <c r="S8" s="702">
        <f t="shared" si="0"/>
        <v>100</v>
      </c>
      <c r="T8" s="701" t="s">
        <v>14</v>
      </c>
      <c r="U8" s="702">
        <f t="shared" si="1"/>
        <v>100</v>
      </c>
      <c r="V8" s="701" t="s">
        <v>14</v>
      </c>
      <c r="W8" s="702">
        <f t="shared" si="2"/>
        <v>100</v>
      </c>
      <c r="X8" s="703"/>
      <c r="Y8" s="3715" t="s">
        <v>1683</v>
      </c>
      <c r="Z8" s="371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79" t="s">
        <v>1686</v>
      </c>
      <c r="Q9" s="1342"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79"/>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79"/>
      <c r="Q11" s="1342">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79"/>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79"/>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81" t="s">
        <v>1691</v>
      </c>
      <c r="Q14" s="1351" t="str">
        <f t="shared" si="6"/>
        <v>交通便捷度</v>
      </c>
      <c r="R14" s="705" t="s">
        <v>14</v>
      </c>
      <c r="S14" s="706">
        <f t="shared" si="0"/>
        <v>100</v>
      </c>
      <c r="T14" s="705" t="s">
        <v>14</v>
      </c>
      <c r="U14" s="706">
        <f t="shared" si="1"/>
        <v>100</v>
      </c>
      <c r="V14" s="705" t="s">
        <v>14</v>
      </c>
      <c r="W14" s="706">
        <f t="shared" si="2"/>
        <v>100</v>
      </c>
      <c r="X14" s="1354"/>
      <c r="Y14" s="368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682"/>
      <c r="Q15" s="1351"/>
      <c r="R15" s="705"/>
      <c r="S15" s="706"/>
      <c r="T15" s="705"/>
      <c r="U15" s="706"/>
      <c r="V15" s="705"/>
      <c r="W15" s="706"/>
      <c r="X15" s="1354"/>
      <c r="Y15" s="368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82"/>
      <c r="Q16" s="1351" t="str">
        <f>B16</f>
        <v>公共配套设施</v>
      </c>
      <c r="R16" s="705" t="s">
        <v>14</v>
      </c>
      <c r="S16" s="706">
        <f>F16</f>
        <v>100</v>
      </c>
      <c r="T16" s="705" t="s">
        <v>14</v>
      </c>
      <c r="U16" s="706">
        <f>H16</f>
        <v>100</v>
      </c>
      <c r="V16" s="705" t="s">
        <v>14</v>
      </c>
      <c r="W16" s="706">
        <f>J16</f>
        <v>100</v>
      </c>
      <c r="X16" s="1354"/>
      <c r="Y16" s="368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682"/>
      <c r="Q17" s="1351"/>
      <c r="R17" s="705"/>
      <c r="S17" s="706"/>
      <c r="T17" s="705"/>
      <c r="U17" s="706"/>
      <c r="V17" s="705"/>
      <c r="W17" s="706"/>
      <c r="X17" s="1354"/>
      <c r="Y17" s="3682"/>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82"/>
      <c r="Q18" s="1351" t="str">
        <f>B18</f>
        <v>基础设施水平</v>
      </c>
      <c r="R18" s="705" t="s">
        <v>14</v>
      </c>
      <c r="S18" s="706">
        <f>F18</f>
        <v>100</v>
      </c>
      <c r="T18" s="705" t="s">
        <v>14</v>
      </c>
      <c r="U18" s="706">
        <f>H18</f>
        <v>100</v>
      </c>
      <c r="V18" s="705" t="s">
        <v>14</v>
      </c>
      <c r="W18" s="706">
        <f>J18</f>
        <v>100</v>
      </c>
      <c r="X18" s="1354"/>
      <c r="Y18" s="3682"/>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9"/>
      <c r="M19" s="2713"/>
      <c r="N19" s="2713"/>
      <c r="O19" s="2771"/>
      <c r="P19" s="3682"/>
      <c r="Q19" s="1351"/>
      <c r="R19" s="705"/>
      <c r="S19" s="706"/>
      <c r="T19" s="705"/>
      <c r="U19" s="706"/>
      <c r="V19" s="705"/>
      <c r="W19" s="706"/>
      <c r="X19" s="1354"/>
      <c r="Y19" s="368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82"/>
      <c r="Q20" s="1351" t="str">
        <f>B20</f>
        <v>自然及人文环境</v>
      </c>
      <c r="R20" s="705" t="s">
        <v>14</v>
      </c>
      <c r="S20" s="706">
        <f>F20</f>
        <v>100</v>
      </c>
      <c r="T20" s="705" t="s">
        <v>14</v>
      </c>
      <c r="U20" s="706">
        <f>H20</f>
        <v>100</v>
      </c>
      <c r="V20" s="705" t="s">
        <v>14</v>
      </c>
      <c r="W20" s="706">
        <f>J20</f>
        <v>100</v>
      </c>
      <c r="X20" s="1354"/>
      <c r="Y20" s="368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682"/>
      <c r="Q21" s="1351"/>
      <c r="R21" s="705"/>
      <c r="S21" s="706"/>
      <c r="T21" s="705"/>
      <c r="U21" s="706"/>
      <c r="V21" s="705"/>
      <c r="W21" s="706"/>
      <c r="X21" s="1354"/>
      <c r="Y21" s="368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82"/>
      <c r="Q22" s="1351" t="str">
        <f>B22</f>
        <v>楼层</v>
      </c>
      <c r="R22" s="705" t="s">
        <v>14</v>
      </c>
      <c r="S22" s="706">
        <f>F22</f>
        <v>100</v>
      </c>
      <c r="T22" s="705" t="s">
        <v>14</v>
      </c>
      <c r="U22" s="706">
        <f>H22</f>
        <v>100</v>
      </c>
      <c r="V22" s="705" t="s">
        <v>14</v>
      </c>
      <c r="W22" s="706">
        <f>J22</f>
        <v>100</v>
      </c>
      <c r="X22" s="1354"/>
      <c r="Y22" s="368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82"/>
      <c r="Q23" s="1351">
        <f>B23</f>
        <v>111</v>
      </c>
      <c r="R23" s="705" t="s">
        <v>14</v>
      </c>
      <c r="S23" s="706">
        <f>F23</f>
        <v>100</v>
      </c>
      <c r="T23" s="705" t="s">
        <v>14</v>
      </c>
      <c r="U23" s="706">
        <f>H23</f>
        <v>100</v>
      </c>
      <c r="V23" s="705" t="s">
        <v>14</v>
      </c>
      <c r="W23" s="706">
        <f>J23</f>
        <v>100</v>
      </c>
      <c r="X23" s="1354"/>
      <c r="Y23" s="368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82"/>
      <c r="Q24" s="1351">
        <f t="shared" ref="Q24:Q34" si="11">B24</f>
        <v>111</v>
      </c>
      <c r="R24" s="705" t="s">
        <v>14</v>
      </c>
      <c r="S24" s="706">
        <f>F24</f>
        <v>100</v>
      </c>
      <c r="T24" s="705" t="s">
        <v>14</v>
      </c>
      <c r="U24" s="706">
        <f>H24</f>
        <v>100</v>
      </c>
      <c r="V24" s="705" t="s">
        <v>14</v>
      </c>
      <c r="W24" s="706">
        <f>J24</f>
        <v>100</v>
      </c>
      <c r="X24" s="1354"/>
      <c r="Y24" s="3682"/>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82"/>
      <c r="Q25" s="1342">
        <f t="shared" si="11"/>
        <v>111</v>
      </c>
      <c r="R25" s="701" t="s">
        <v>14</v>
      </c>
      <c r="S25" s="702">
        <f>F25</f>
        <v>100</v>
      </c>
      <c r="T25" s="701" t="s">
        <v>14</v>
      </c>
      <c r="U25" s="702">
        <f>H25</f>
        <v>100</v>
      </c>
      <c r="V25" s="701" t="s">
        <v>14</v>
      </c>
      <c r="W25" s="702">
        <f>J25</f>
        <v>100</v>
      </c>
      <c r="X25" s="703"/>
      <c r="Y25" s="3682"/>
      <c r="Z25" s="52">
        <f>Q25</f>
        <v>111</v>
      </c>
      <c r="AA25" s="1352">
        <f>D25/F25</f>
        <v>1</v>
      </c>
      <c r="AB25" s="1352">
        <f>D25/H25</f>
        <v>1</v>
      </c>
      <c r="AC25" s="1352">
        <f>D25/J25</f>
        <v>1</v>
      </c>
    </row>
    <row r="26" spans="1:29" ht="1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6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86"/>
      <c r="Q27" s="707" t="str">
        <f t="shared" si="11"/>
        <v>成新率</v>
      </c>
      <c r="R27" s="708" t="s">
        <v>14</v>
      </c>
      <c r="S27" s="709" t="e">
        <f t="shared" si="12"/>
        <v>#N/A</v>
      </c>
      <c r="T27" s="708" t="s">
        <v>14</v>
      </c>
      <c r="U27" s="709" t="e">
        <f t="shared" si="13"/>
        <v>#N/A</v>
      </c>
      <c r="V27" s="708" t="s">
        <v>14</v>
      </c>
      <c r="W27" s="709" t="e">
        <f t="shared" si="14"/>
        <v>#N/A</v>
      </c>
      <c r="X27" s="710"/>
      <c r="Y27" s="368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86"/>
      <c r="Q28" s="1351" t="str">
        <f t="shared" si="11"/>
        <v>物业等级</v>
      </c>
      <c r="R28" s="705" t="s">
        <v>14</v>
      </c>
      <c r="S28" s="706">
        <f t="shared" si="12"/>
        <v>100</v>
      </c>
      <c r="T28" s="705" t="s">
        <v>14</v>
      </c>
      <c r="U28" s="706">
        <f t="shared" si="13"/>
        <v>100</v>
      </c>
      <c r="V28" s="705" t="s">
        <v>14</v>
      </c>
      <c r="W28" s="706">
        <f t="shared" si="14"/>
        <v>100</v>
      </c>
      <c r="X28" s="1354"/>
      <c r="Y28" s="368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86"/>
      <c r="Q29" s="1351" t="str">
        <f t="shared" si="11"/>
        <v>有无电梯</v>
      </c>
      <c r="R29" s="705" t="s">
        <v>14</v>
      </c>
      <c r="S29" s="706">
        <f t="shared" si="12"/>
        <v>100</v>
      </c>
      <c r="T29" s="705" t="s">
        <v>14</v>
      </c>
      <c r="U29" s="706">
        <f t="shared" si="13"/>
        <v>100</v>
      </c>
      <c r="V29" s="705" t="s">
        <v>14</v>
      </c>
      <c r="W29" s="706">
        <f t="shared" si="14"/>
        <v>100</v>
      </c>
      <c r="X29" s="1354"/>
      <c r="Y29" s="368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86"/>
      <c r="Q30" s="1351" t="str">
        <f t="shared" si="11"/>
        <v>建筑面积</v>
      </c>
      <c r="R30" s="705" t="s">
        <v>14</v>
      </c>
      <c r="S30" s="706" t="e">
        <f t="shared" si="12"/>
        <v>#N/A</v>
      </c>
      <c r="T30" s="705" t="s">
        <v>14</v>
      </c>
      <c r="U30" s="706" t="e">
        <f t="shared" si="13"/>
        <v>#N/A</v>
      </c>
      <c r="V30" s="705" t="s">
        <v>14</v>
      </c>
      <c r="W30" s="706" t="e">
        <f t="shared" si="14"/>
        <v>#N/A</v>
      </c>
      <c r="X30" s="1354"/>
      <c r="Y30" s="368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86"/>
      <c r="Q31" s="1342" t="str">
        <f t="shared" si="11"/>
        <v>是否封闭</v>
      </c>
      <c r="R31" s="701" t="s">
        <v>14</v>
      </c>
      <c r="S31" s="702">
        <f t="shared" si="12"/>
        <v>100</v>
      </c>
      <c r="T31" s="701" t="s">
        <v>14</v>
      </c>
      <c r="U31" s="702">
        <f t="shared" si="13"/>
        <v>100</v>
      </c>
      <c r="V31" s="701" t="s">
        <v>14</v>
      </c>
      <c r="W31" s="702">
        <f t="shared" si="14"/>
        <v>100</v>
      </c>
      <c r="X31" s="703"/>
      <c r="Y31" s="368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86" t="s">
        <v>1696</v>
      </c>
      <c r="Q32" s="1351">
        <f t="shared" si="11"/>
        <v>111</v>
      </c>
      <c r="R32" s="705" t="s">
        <v>14</v>
      </c>
      <c r="S32" s="706">
        <f t="shared" si="12"/>
        <v>100</v>
      </c>
      <c r="T32" s="705" t="s">
        <v>14</v>
      </c>
      <c r="U32" s="706">
        <f t="shared" si="13"/>
        <v>100</v>
      </c>
      <c r="V32" s="705" t="s">
        <v>14</v>
      </c>
      <c r="W32" s="706">
        <f t="shared" si="14"/>
        <v>100</v>
      </c>
      <c r="X32" s="1354"/>
      <c r="Y32" s="368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86"/>
      <c r="Q33" s="1351">
        <f t="shared" si="11"/>
        <v>111</v>
      </c>
      <c r="R33" s="705" t="s">
        <v>14</v>
      </c>
      <c r="S33" s="706">
        <f t="shared" si="12"/>
        <v>100</v>
      </c>
      <c r="T33" s="705" t="s">
        <v>14</v>
      </c>
      <c r="U33" s="706">
        <f t="shared" si="13"/>
        <v>100</v>
      </c>
      <c r="V33" s="705" t="s">
        <v>14</v>
      </c>
      <c r="W33" s="706">
        <f t="shared" si="14"/>
        <v>100</v>
      </c>
      <c r="X33" s="1354"/>
      <c r="Y33" s="3686"/>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86"/>
      <c r="Q34" s="1351">
        <f t="shared" si="11"/>
        <v>111</v>
      </c>
      <c r="R34" s="705" t="s">
        <v>14</v>
      </c>
      <c r="S34" s="706">
        <f t="shared" si="12"/>
        <v>100</v>
      </c>
      <c r="T34" s="705" t="s">
        <v>14</v>
      </c>
      <c r="U34" s="706">
        <f t="shared" si="13"/>
        <v>100</v>
      </c>
      <c r="V34" s="705" t="s">
        <v>14</v>
      </c>
      <c r="W34" s="706">
        <f t="shared" si="14"/>
        <v>100</v>
      </c>
      <c r="X34" s="1354"/>
      <c r="Y34" s="3686"/>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1"/>
      <c r="M35" s="2722"/>
      <c r="N35" s="2713"/>
      <c r="O35" s="2722"/>
      <c r="P35" s="3679" t="str">
        <f>A35</f>
        <v>成交单价（元/平方米）</v>
      </c>
      <c r="Q35" s="3679"/>
      <c r="R35" s="3680">
        <f>E35</f>
        <v>0</v>
      </c>
      <c r="S35" s="3680"/>
      <c r="T35" s="3680">
        <f>G35</f>
        <v>0</v>
      </c>
      <c r="U35" s="3680"/>
      <c r="V35" s="3680">
        <f>I35</f>
        <v>0</v>
      </c>
      <c r="W35" s="3680"/>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21"/>
      <c r="M36" s="2722"/>
      <c r="N36" s="2713"/>
      <c r="O36" s="2722"/>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76" t="str">
        <f>A37</f>
        <v>估价对象XX用房的比较价值（楼面单价，元/平方米）</v>
      </c>
      <c r="Q37" s="3677"/>
      <c r="R37" s="3761" t="e">
        <f>IF(F1="售价",ROUND(IF(D36="简单平均",AVERAGE(R36:W36),R36*F36+T36*H36+V36*J36),0),ROUND(IF(D36="简单平均",AVERAGE(R36:V36),R36*F36+T36*H36+V36*J36),1))</f>
        <v>#DIV/0!</v>
      </c>
      <c r="S37" s="3761"/>
      <c r="T37" s="3761"/>
      <c r="U37" s="3761"/>
      <c r="V37" s="3761"/>
      <c r="W37" s="376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625" style="357" customWidth="1"/>
    <col min="3" max="3" width="14.375" style="357" customWidth="1"/>
    <col min="4" max="4" width="14.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2"/>
      <c r="M4" s="2713"/>
      <c r="N4" s="2713"/>
      <c r="O4" s="2713"/>
      <c r="P4" s="3698" t="s">
        <v>1775</v>
      </c>
      <c r="Q4" s="3699"/>
      <c r="R4" s="3704" t="s">
        <v>1771</v>
      </c>
      <c r="S4" s="3705"/>
      <c r="T4" s="3704" t="s">
        <v>1772</v>
      </c>
      <c r="U4" s="3705"/>
      <c r="V4" s="3710" t="s">
        <v>1773</v>
      </c>
      <c r="W4" s="3710"/>
      <c r="X4" s="1354"/>
      <c r="Y4" s="3704" t="s">
        <v>1775</v>
      </c>
      <c r="Z4" s="3705"/>
      <c r="AA4" s="3691" t="s">
        <v>1771</v>
      </c>
      <c r="AB4" s="3692" t="s">
        <v>1772</v>
      </c>
      <c r="AC4" s="3691" t="s">
        <v>1773</v>
      </c>
    </row>
    <row r="5" spans="1:30" ht="15">
      <c r="A5" s="358"/>
      <c r="B5" s="359"/>
      <c r="C5" s="3713" t="s">
        <v>1673</v>
      </c>
      <c r="D5" s="3714"/>
      <c r="E5" s="3722" t="s">
        <v>1674</v>
      </c>
      <c r="F5" s="3723"/>
      <c r="G5" s="3713" t="s">
        <v>1675</v>
      </c>
      <c r="H5" s="3714"/>
      <c r="I5" s="3713" t="s">
        <v>1676</v>
      </c>
      <c r="J5" s="3714"/>
      <c r="K5" s="559"/>
      <c r="L5" s="2712"/>
      <c r="M5" s="2713"/>
      <c r="N5" s="2713"/>
      <c r="O5" s="2713"/>
      <c r="P5" s="3700"/>
      <c r="Q5" s="3701"/>
      <c r="R5" s="3706"/>
      <c r="S5" s="3707"/>
      <c r="T5" s="3706"/>
      <c r="U5" s="3707"/>
      <c r="V5" s="3710"/>
      <c r="W5" s="3710"/>
      <c r="X5" s="1354"/>
      <c r="Y5" s="3706"/>
      <c r="Z5" s="3707"/>
      <c r="AA5" s="3692"/>
      <c r="AB5" s="3692"/>
      <c r="AC5" s="3692"/>
    </row>
    <row r="6" spans="1:30" ht="15.75" thickBot="1">
      <c r="A6" s="360"/>
      <c r="B6" s="361"/>
      <c r="C6" s="3711" t="s">
        <v>1677</v>
      </c>
      <c r="D6" s="3712"/>
      <c r="E6" s="3720" t="s">
        <v>1677</v>
      </c>
      <c r="F6" s="3721"/>
      <c r="G6" s="3711" t="s">
        <v>1677</v>
      </c>
      <c r="H6" s="3712"/>
      <c r="I6" s="3711" t="s">
        <v>1677</v>
      </c>
      <c r="J6" s="3712"/>
      <c r="K6" s="559" t="s">
        <v>1678</v>
      </c>
      <c r="L6" s="2712"/>
      <c r="M6" s="2713"/>
      <c r="N6" s="2713"/>
      <c r="O6" s="2713"/>
      <c r="P6" s="3702"/>
      <c r="Q6" s="3703"/>
      <c r="R6" s="3706"/>
      <c r="S6" s="3707"/>
      <c r="T6" s="3708"/>
      <c r="U6" s="3709"/>
      <c r="V6" s="3710"/>
      <c r="W6" s="3710"/>
      <c r="X6" s="1354"/>
      <c r="Y6" s="3708"/>
      <c r="Z6" s="3709"/>
      <c r="AA6" s="3693"/>
      <c r="AB6" s="3693"/>
      <c r="AC6" s="3693"/>
    </row>
    <row r="7" spans="1:30" s="108" customFormat="1" ht="15.75" thickBot="1">
      <c r="A7" s="362" t="s">
        <v>1679</v>
      </c>
      <c r="B7" s="363"/>
      <c r="C7" s="364">
        <f>'数据-取费表'!B2</f>
        <v>45131</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15" t="s">
        <v>1683</v>
      </c>
      <c r="Q8" s="3716"/>
      <c r="R8" s="701" t="s">
        <v>14</v>
      </c>
      <c r="S8" s="702">
        <f t="shared" si="0"/>
        <v>0</v>
      </c>
      <c r="T8" s="701" t="s">
        <v>14</v>
      </c>
      <c r="U8" s="702">
        <f t="shared" si="1"/>
        <v>0</v>
      </c>
      <c r="V8" s="701" t="s">
        <v>14</v>
      </c>
      <c r="W8" s="702">
        <f t="shared" si="2"/>
        <v>0</v>
      </c>
      <c r="X8" s="703"/>
      <c r="Y8" s="3715" t="s">
        <v>1683</v>
      </c>
      <c r="Z8" s="3716"/>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79"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135</v>
      </c>
      <c r="G10" s="414"/>
      <c r="H10" s="127">
        <f>ROUND(100/'数据-取费表'!G16,0)</f>
        <v>135</v>
      </c>
      <c r="I10" s="414"/>
      <c r="J10" s="127">
        <f>ROUND(100/'数据-取费表'!G16,0)</f>
        <v>135</v>
      </c>
      <c r="K10" s="620"/>
      <c r="L10" s="2716"/>
      <c r="M10" s="2717"/>
      <c r="N10" s="2717"/>
      <c r="O10" s="2770"/>
      <c r="P10" s="3679"/>
      <c r="Q10" s="1342" t="str">
        <f t="shared" si="6"/>
        <v>土地使用年限（年）</v>
      </c>
      <c r="R10" s="701" t="s">
        <v>14</v>
      </c>
      <c r="S10" s="702">
        <f t="shared" si="0"/>
        <v>135</v>
      </c>
      <c r="T10" s="701" t="s">
        <v>14</v>
      </c>
      <c r="U10" s="702">
        <f t="shared" si="1"/>
        <v>135</v>
      </c>
      <c r="V10" s="701" t="s">
        <v>14</v>
      </c>
      <c r="W10" s="702">
        <f t="shared" si="2"/>
        <v>135</v>
      </c>
      <c r="X10" s="703"/>
      <c r="Y10" s="3575"/>
      <c r="Z10" s="52" t="str">
        <f t="shared" si="7"/>
        <v>土地使用年限（年）</v>
      </c>
      <c r="AA10" s="704">
        <f t="shared" si="3"/>
        <v>0.7407407407407407</v>
      </c>
      <c r="AB10" s="704">
        <f t="shared" si="4"/>
        <v>0.7407407407407407</v>
      </c>
      <c r="AC10" s="704">
        <f t="shared" si="5"/>
        <v>0.7407407407407407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79"/>
      <c r="Q11" s="1342"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79"/>
      <c r="Q12" s="1342" t="str">
        <f t="shared" si="6"/>
        <v>配建</v>
      </c>
      <c r="R12" s="701" t="s">
        <v>14</v>
      </c>
      <c r="S12" s="702">
        <f t="shared" si="0"/>
        <v>100</v>
      </c>
      <c r="T12" s="701" t="s">
        <v>14</v>
      </c>
      <c r="U12" s="702">
        <f t="shared" si="1"/>
        <v>100</v>
      </c>
      <c r="V12" s="701" t="s">
        <v>14</v>
      </c>
      <c r="W12" s="702">
        <f t="shared" si="2"/>
        <v>100</v>
      </c>
      <c r="X12" s="703"/>
      <c r="Y12" s="357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79"/>
      <c r="Q13" s="1342">
        <f t="shared" si="6"/>
        <v>111</v>
      </c>
      <c r="R13" s="701" t="s">
        <v>14</v>
      </c>
      <c r="S13" s="702">
        <f t="shared" si="0"/>
        <v>100</v>
      </c>
      <c r="T13" s="701" t="s">
        <v>14</v>
      </c>
      <c r="U13" s="702">
        <f t="shared" si="1"/>
        <v>100</v>
      </c>
      <c r="V13" s="701" t="s">
        <v>14</v>
      </c>
      <c r="W13" s="702">
        <f t="shared" si="2"/>
        <v>100</v>
      </c>
      <c r="X13" s="703"/>
      <c r="Y13" s="3575"/>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79"/>
      <c r="Q14" s="1342">
        <f t="shared" si="6"/>
        <v>111</v>
      </c>
      <c r="R14" s="701" t="s">
        <v>14</v>
      </c>
      <c r="S14" s="702">
        <f t="shared" si="0"/>
        <v>100</v>
      </c>
      <c r="T14" s="701" t="s">
        <v>14</v>
      </c>
      <c r="U14" s="702">
        <f t="shared" si="1"/>
        <v>100</v>
      </c>
      <c r="V14" s="701" t="s">
        <v>14</v>
      </c>
      <c r="W14" s="702">
        <f t="shared" si="2"/>
        <v>100</v>
      </c>
      <c r="X14" s="703"/>
      <c r="Y14" s="3575"/>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81" t="s">
        <v>1691</v>
      </c>
      <c r="Q15" s="1351" t="str">
        <f t="shared" si="6"/>
        <v>居住社区成熟度</v>
      </c>
      <c r="R15" s="705" t="s">
        <v>14</v>
      </c>
      <c r="S15" s="706">
        <f t="shared" si="0"/>
        <v>100</v>
      </c>
      <c r="T15" s="705" t="s">
        <v>14</v>
      </c>
      <c r="U15" s="706">
        <f t="shared" si="1"/>
        <v>100</v>
      </c>
      <c r="V15" s="705" t="s">
        <v>14</v>
      </c>
      <c r="W15" s="706">
        <f t="shared" si="2"/>
        <v>100</v>
      </c>
      <c r="X15" s="1354"/>
      <c r="Y15" s="368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682"/>
      <c r="Q16" s="1351"/>
      <c r="R16" s="705"/>
      <c r="S16" s="706"/>
      <c r="T16" s="705"/>
      <c r="U16" s="706"/>
      <c r="V16" s="705"/>
      <c r="W16" s="706"/>
      <c r="X16" s="1354"/>
      <c r="Y16" s="3682"/>
      <c r="Z16" s="1355"/>
      <c r="AA16" s="1352">
        <v>1</v>
      </c>
      <c r="AB16" s="1352">
        <v>1</v>
      </c>
      <c r="AC16" s="1352">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82"/>
      <c r="Q17" s="1351" t="str">
        <f>B17</f>
        <v>商业繁华度</v>
      </c>
      <c r="R17" s="705" t="s">
        <v>14</v>
      </c>
      <c r="S17" s="706">
        <f>F17</f>
        <v>100</v>
      </c>
      <c r="T17" s="705" t="s">
        <v>14</v>
      </c>
      <c r="U17" s="706">
        <f>H17</f>
        <v>100</v>
      </c>
      <c r="V17" s="705" t="s">
        <v>14</v>
      </c>
      <c r="W17" s="706">
        <f>J17</f>
        <v>100</v>
      </c>
      <c r="X17" s="1354"/>
      <c r="Y17" s="368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682"/>
      <c r="Q18" s="1351"/>
      <c r="R18" s="705"/>
      <c r="S18" s="706"/>
      <c r="T18" s="705"/>
      <c r="U18" s="706"/>
      <c r="V18" s="705"/>
      <c r="W18" s="706"/>
      <c r="X18" s="1354"/>
      <c r="Y18" s="3682"/>
      <c r="Z18" s="1355"/>
      <c r="AA18" s="1352">
        <v>1</v>
      </c>
      <c r="AB18" s="1352">
        <v>1</v>
      </c>
      <c r="AC18" s="1352">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82"/>
      <c r="Q19" s="1351" t="str">
        <f>B19</f>
        <v>办公集聚程度</v>
      </c>
      <c r="R19" s="705" t="s">
        <v>14</v>
      </c>
      <c r="S19" s="706">
        <f>F19</f>
        <v>100</v>
      </c>
      <c r="T19" s="705" t="s">
        <v>14</v>
      </c>
      <c r="U19" s="706">
        <f>H19</f>
        <v>100</v>
      </c>
      <c r="V19" s="705" t="s">
        <v>14</v>
      </c>
      <c r="W19" s="706">
        <f>J19</f>
        <v>100</v>
      </c>
      <c r="X19" s="1354"/>
      <c r="Y19" s="368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682"/>
      <c r="Q20" s="1351"/>
      <c r="R20" s="705"/>
      <c r="S20" s="706"/>
      <c r="T20" s="705"/>
      <c r="U20" s="706"/>
      <c r="V20" s="705"/>
      <c r="W20" s="706"/>
      <c r="X20" s="1354"/>
      <c r="Y20" s="368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82"/>
      <c r="Q21" s="1351" t="str">
        <f>B21</f>
        <v>交通便捷度</v>
      </c>
      <c r="R21" s="705" t="s">
        <v>14</v>
      </c>
      <c r="S21" s="706">
        <f>F21</f>
        <v>100</v>
      </c>
      <c r="T21" s="705" t="s">
        <v>14</v>
      </c>
      <c r="U21" s="706">
        <f>H21</f>
        <v>100</v>
      </c>
      <c r="V21" s="705" t="s">
        <v>14</v>
      </c>
      <c r="W21" s="706">
        <f>J21</f>
        <v>100</v>
      </c>
      <c r="X21" s="1354"/>
      <c r="Y21" s="3682"/>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9"/>
      <c r="M22" s="2713"/>
      <c r="N22" s="2713"/>
      <c r="O22" s="2771"/>
      <c r="P22" s="3682"/>
      <c r="Q22" s="1351"/>
      <c r="R22" s="705"/>
      <c r="S22" s="706"/>
      <c r="T22" s="705"/>
      <c r="U22" s="706"/>
      <c r="V22" s="705"/>
      <c r="W22" s="706"/>
      <c r="X22" s="1354"/>
      <c r="Y22" s="3682"/>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82"/>
      <c r="Q23" s="1351" t="str">
        <f t="shared" ref="Q23:Q37" si="8">B23</f>
        <v>区域土地利用方向</v>
      </c>
      <c r="R23" s="705" t="s">
        <v>14</v>
      </c>
      <c r="S23" s="706">
        <f>F23</f>
        <v>100</v>
      </c>
      <c r="T23" s="705" t="s">
        <v>14</v>
      </c>
      <c r="U23" s="706">
        <f>H23</f>
        <v>100</v>
      </c>
      <c r="V23" s="705" t="s">
        <v>14</v>
      </c>
      <c r="W23" s="706">
        <f>J23</f>
        <v>100</v>
      </c>
      <c r="X23" s="1354"/>
      <c r="Y23" s="368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682"/>
      <c r="Q24" s="1351"/>
      <c r="R24" s="705"/>
      <c r="S24" s="706"/>
      <c r="T24" s="705"/>
      <c r="U24" s="706"/>
      <c r="V24" s="705"/>
      <c r="W24" s="706"/>
      <c r="X24" s="1354"/>
      <c r="Y24" s="3682"/>
      <c r="Z24" s="1355"/>
      <c r="AA24" s="1352"/>
      <c r="AB24" s="1352"/>
      <c r="AC24" s="1352"/>
    </row>
    <row r="25" spans="1:29" ht="57">
      <c r="A25" s="358"/>
      <c r="B25" s="1131"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82"/>
      <c r="Q25" s="1351" t="str">
        <f t="shared" si="8"/>
        <v>自然及人文环境状况</v>
      </c>
      <c r="R25" s="705" t="s">
        <v>14</v>
      </c>
      <c r="S25" s="706">
        <f>F25</f>
        <v>100</v>
      </c>
      <c r="T25" s="705" t="s">
        <v>14</v>
      </c>
      <c r="U25" s="706">
        <f>H25</f>
        <v>100</v>
      </c>
      <c r="V25" s="705" t="s">
        <v>14</v>
      </c>
      <c r="W25" s="706">
        <f>J25</f>
        <v>100</v>
      </c>
      <c r="X25" s="1354"/>
      <c r="Y25" s="368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682"/>
      <c r="Q26" s="1351"/>
      <c r="R26" s="705"/>
      <c r="S26" s="706"/>
      <c r="T26" s="705"/>
      <c r="U26" s="706"/>
      <c r="V26" s="705"/>
      <c r="W26" s="706"/>
      <c r="X26" s="1354"/>
      <c r="Y26" s="3682"/>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82"/>
      <c r="Q27" s="1342" t="str">
        <f t="shared" si="8"/>
        <v>公共配套设施</v>
      </c>
      <c r="R27" s="701" t="s">
        <v>14</v>
      </c>
      <c r="S27" s="702">
        <f>F27</f>
        <v>100</v>
      </c>
      <c r="T27" s="701" t="s">
        <v>14</v>
      </c>
      <c r="U27" s="702">
        <f>H27</f>
        <v>100</v>
      </c>
      <c r="V27" s="701" t="s">
        <v>14</v>
      </c>
      <c r="W27" s="702">
        <f>J27</f>
        <v>100</v>
      </c>
      <c r="X27" s="703"/>
      <c r="Y27" s="3682"/>
      <c r="Z27" s="52" t="str">
        <f>Q27</f>
        <v>公共配套设施</v>
      </c>
      <c r="AA27" s="1352">
        <f>D27/F27</f>
        <v>1</v>
      </c>
      <c r="AB27" s="1352">
        <f>D27/H27</f>
        <v>1</v>
      </c>
      <c r="AC27" s="1352">
        <f>D27/J27</f>
        <v>1</v>
      </c>
    </row>
    <row r="28" spans="1:29" s="108" customFormat="1" ht="15">
      <c r="A28" s="597"/>
      <c r="B28" s="407"/>
      <c r="C28" s="1975"/>
      <c r="D28" s="399"/>
      <c r="E28" s="1903"/>
      <c r="F28" s="399"/>
      <c r="G28" s="1903"/>
      <c r="H28" s="399"/>
      <c r="I28" s="398"/>
      <c r="J28" s="399"/>
      <c r="K28" s="620"/>
      <c r="L28" s="2714"/>
      <c r="M28" s="2715"/>
      <c r="N28" s="2715"/>
      <c r="O28" s="2769"/>
      <c r="P28" s="3682"/>
      <c r="Q28" s="1342"/>
      <c r="R28" s="701"/>
      <c r="S28" s="702"/>
      <c r="T28" s="701"/>
      <c r="U28" s="702"/>
      <c r="V28" s="701"/>
      <c r="W28" s="702"/>
      <c r="X28" s="703"/>
      <c r="Y28" s="3682"/>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82"/>
      <c r="Q29" s="1342" t="str">
        <f t="shared" ref="Q29" si="9">B29</f>
        <v>基础设施水平</v>
      </c>
      <c r="R29" s="701" t="s">
        <v>14</v>
      </c>
      <c r="S29" s="702">
        <f>F29</f>
        <v>100</v>
      </c>
      <c r="T29" s="701" t="s">
        <v>14</v>
      </c>
      <c r="U29" s="702">
        <f>H29</f>
        <v>100</v>
      </c>
      <c r="V29" s="701" t="s">
        <v>14</v>
      </c>
      <c r="W29" s="702">
        <f>J29</f>
        <v>100</v>
      </c>
      <c r="X29" s="703"/>
      <c r="Y29" s="3682"/>
      <c r="Z29" s="52" t="str">
        <f>Q29</f>
        <v>基础设施水平</v>
      </c>
      <c r="AA29" s="1352">
        <f>D29/F29</f>
        <v>1</v>
      </c>
      <c r="AB29" s="1352">
        <f>D29/H29</f>
        <v>1</v>
      </c>
      <c r="AC29" s="1352">
        <f>D29/J29</f>
        <v>1</v>
      </c>
    </row>
    <row r="30" spans="1:29" s="108" customFormat="1" ht="15">
      <c r="A30" s="597"/>
      <c r="B30" s="407"/>
      <c r="C30" s="1975"/>
      <c r="D30" s="399"/>
      <c r="E30" s="1976"/>
      <c r="F30" s="399"/>
      <c r="G30" s="1976"/>
      <c r="H30" s="399"/>
      <c r="I30" s="1976"/>
      <c r="J30" s="399"/>
      <c r="K30" s="620"/>
      <c r="L30" s="2714"/>
      <c r="M30" s="2715"/>
      <c r="N30" s="2715"/>
      <c r="O30" s="2769"/>
      <c r="P30" s="3682"/>
      <c r="Q30" s="1342"/>
      <c r="R30" s="701"/>
      <c r="S30" s="702"/>
      <c r="T30" s="701"/>
      <c r="U30" s="702"/>
      <c r="V30" s="701"/>
      <c r="W30" s="702"/>
      <c r="X30" s="703"/>
      <c r="Y30" s="368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8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82"/>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82"/>
      <c r="Q32" s="1351" t="str">
        <f t="shared" si="8"/>
        <v>毗邻道路的类型与等级</v>
      </c>
      <c r="R32" s="705" t="s">
        <v>14</v>
      </c>
      <c r="S32" s="706">
        <f t="shared" si="10"/>
        <v>100</v>
      </c>
      <c r="T32" s="705" t="s">
        <v>14</v>
      </c>
      <c r="U32" s="706">
        <f t="shared" si="11"/>
        <v>100</v>
      </c>
      <c r="V32" s="705" t="s">
        <v>14</v>
      </c>
      <c r="W32" s="706">
        <f t="shared" si="12"/>
        <v>100</v>
      </c>
      <c r="X32" s="1354"/>
      <c r="Y32" s="368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682"/>
      <c r="Q33" s="1351"/>
      <c r="R33" s="705"/>
      <c r="S33" s="706"/>
      <c r="T33" s="705"/>
      <c r="U33" s="706"/>
      <c r="V33" s="705"/>
      <c r="W33" s="706"/>
      <c r="X33" s="1354"/>
      <c r="Y33" s="368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82"/>
      <c r="Q34" s="1351" t="str">
        <f t="shared" si="8"/>
        <v>土地级别</v>
      </c>
      <c r="R34" s="705" t="s">
        <v>14</v>
      </c>
      <c r="S34" s="706">
        <f t="shared" si="10"/>
        <v>100</v>
      </c>
      <c r="T34" s="705" t="s">
        <v>14</v>
      </c>
      <c r="U34" s="706">
        <f t="shared" si="11"/>
        <v>100</v>
      </c>
      <c r="V34" s="705" t="s">
        <v>14</v>
      </c>
      <c r="W34" s="706">
        <f t="shared" si="12"/>
        <v>100</v>
      </c>
      <c r="X34" s="1354"/>
      <c r="Y34" s="3682"/>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82"/>
      <c r="Q35" s="1351">
        <f t="shared" si="8"/>
        <v>111</v>
      </c>
      <c r="R35" s="705" t="s">
        <v>14</v>
      </c>
      <c r="S35" s="706">
        <f t="shared" si="10"/>
        <v>100</v>
      </c>
      <c r="T35" s="705" t="s">
        <v>14</v>
      </c>
      <c r="U35" s="706">
        <f t="shared" si="11"/>
        <v>100</v>
      </c>
      <c r="V35" s="705" t="s">
        <v>14</v>
      </c>
      <c r="W35" s="706">
        <f t="shared" si="12"/>
        <v>100</v>
      </c>
      <c r="X35" s="1354"/>
      <c r="Y35" s="3682"/>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60" t="s">
        <v>1696</v>
      </c>
      <c r="Q36" s="1351">
        <f t="shared" si="8"/>
        <v>111</v>
      </c>
      <c r="R36" s="705" t="s">
        <v>14</v>
      </c>
      <c r="S36" s="706">
        <f t="shared" si="10"/>
        <v>100</v>
      </c>
      <c r="T36" s="705" t="s">
        <v>14</v>
      </c>
      <c r="U36" s="706">
        <f t="shared" si="11"/>
        <v>100</v>
      </c>
      <c r="V36" s="705" t="s">
        <v>14</v>
      </c>
      <c r="W36" s="706">
        <f t="shared" si="12"/>
        <v>100</v>
      </c>
      <c r="X36" s="1354"/>
      <c r="Y36" s="3686"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86"/>
      <c r="Q37" s="1351">
        <f t="shared" si="8"/>
        <v>111</v>
      </c>
      <c r="R37" s="708" t="s">
        <v>14</v>
      </c>
      <c r="S37" s="709">
        <f t="shared" si="10"/>
        <v>100</v>
      </c>
      <c r="T37" s="708" t="s">
        <v>14</v>
      </c>
      <c r="U37" s="709">
        <f t="shared" si="11"/>
        <v>100</v>
      </c>
      <c r="V37" s="708" t="s">
        <v>14</v>
      </c>
      <c r="W37" s="709">
        <f t="shared" si="12"/>
        <v>100</v>
      </c>
      <c r="X37" s="710"/>
      <c r="Y37" s="3686"/>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86"/>
      <c r="Q38" s="1351" t="str">
        <f>B38</f>
        <v>宗地面积</v>
      </c>
      <c r="R38" s="705" t="s">
        <v>14</v>
      </c>
      <c r="S38" s="706" t="e">
        <f t="shared" si="10"/>
        <v>#N/A</v>
      </c>
      <c r="T38" s="705" t="s">
        <v>14</v>
      </c>
      <c r="U38" s="706" t="e">
        <f t="shared" si="11"/>
        <v>#N/A</v>
      </c>
      <c r="V38" s="705" t="s">
        <v>14</v>
      </c>
      <c r="W38" s="706" t="e">
        <f t="shared" si="12"/>
        <v>#N/A</v>
      </c>
      <c r="X38" s="1354"/>
      <c r="Y38" s="368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686"/>
      <c r="Q39" s="1351" t="str">
        <f t="shared" ref="Q39:Q45" si="14">B39</f>
        <v>宗地形状</v>
      </c>
      <c r="R39" s="705" t="s">
        <v>14</v>
      </c>
      <c r="S39" s="706">
        <f t="shared" si="10"/>
        <v>100</v>
      </c>
      <c r="T39" s="705" t="s">
        <v>14</v>
      </c>
      <c r="U39" s="706">
        <f t="shared" si="11"/>
        <v>100</v>
      </c>
      <c r="V39" s="705" t="s">
        <v>14</v>
      </c>
      <c r="W39" s="706">
        <f t="shared" si="12"/>
        <v>100</v>
      </c>
      <c r="X39" s="1354"/>
      <c r="Y39" s="368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686"/>
      <c r="Q40" s="1351" t="str">
        <f t="shared" si="14"/>
        <v>临街宽度及深度</v>
      </c>
      <c r="R40" s="705" t="s">
        <v>14</v>
      </c>
      <c r="S40" s="706">
        <f t="shared" si="10"/>
        <v>100</v>
      </c>
      <c r="T40" s="705" t="s">
        <v>14</v>
      </c>
      <c r="U40" s="706">
        <f t="shared" si="11"/>
        <v>100</v>
      </c>
      <c r="V40" s="705" t="s">
        <v>14</v>
      </c>
      <c r="W40" s="706">
        <f t="shared" si="12"/>
        <v>100</v>
      </c>
      <c r="X40" s="1354"/>
      <c r="Y40" s="3686"/>
      <c r="Z40" s="1355" t="str">
        <f t="shared" si="13"/>
        <v>临街宽度及深度</v>
      </c>
      <c r="AA40" s="1352">
        <f t="shared" si="3"/>
        <v>1</v>
      </c>
      <c r="AB40" s="1352">
        <f t="shared" si="4"/>
        <v>1</v>
      </c>
      <c r="AC40" s="1352">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86"/>
      <c r="Q41" s="1351" t="str">
        <f t="shared" si="14"/>
        <v>宗地开发程度</v>
      </c>
      <c r="R41" s="701" t="s">
        <v>14</v>
      </c>
      <c r="S41" s="702">
        <f t="shared" si="10"/>
        <v>100</v>
      </c>
      <c r="T41" s="701" t="s">
        <v>14</v>
      </c>
      <c r="U41" s="702">
        <f t="shared" si="11"/>
        <v>100</v>
      </c>
      <c r="V41" s="701" t="s">
        <v>14</v>
      </c>
      <c r="W41" s="702">
        <f t="shared" si="12"/>
        <v>100</v>
      </c>
      <c r="X41" s="703"/>
      <c r="Y41" s="3686"/>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686" t="s">
        <v>1696</v>
      </c>
      <c r="Q42" s="1351" t="str">
        <f t="shared" si="14"/>
        <v>工程地质条件</v>
      </c>
      <c r="R42" s="705" t="s">
        <v>14</v>
      </c>
      <c r="S42" s="706">
        <f t="shared" si="10"/>
        <v>100</v>
      </c>
      <c r="T42" s="705" t="s">
        <v>14</v>
      </c>
      <c r="U42" s="706">
        <f t="shared" si="11"/>
        <v>100</v>
      </c>
      <c r="V42" s="705" t="s">
        <v>14</v>
      </c>
      <c r="W42" s="706">
        <f t="shared" si="12"/>
        <v>100</v>
      </c>
      <c r="X42" s="1354"/>
      <c r="Y42" s="3686"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86"/>
      <c r="Q43" s="1351">
        <f t="shared" si="14"/>
        <v>111</v>
      </c>
      <c r="R43" s="705" t="s">
        <v>14</v>
      </c>
      <c r="S43" s="706">
        <f t="shared" si="10"/>
        <v>100</v>
      </c>
      <c r="T43" s="705" t="s">
        <v>14</v>
      </c>
      <c r="U43" s="706">
        <f t="shared" si="11"/>
        <v>100</v>
      </c>
      <c r="V43" s="705" t="s">
        <v>14</v>
      </c>
      <c r="W43" s="706">
        <f t="shared" si="12"/>
        <v>100</v>
      </c>
      <c r="X43" s="1354"/>
      <c r="Y43" s="368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86"/>
      <c r="Q44" s="1351">
        <f t="shared" si="14"/>
        <v>111</v>
      </c>
      <c r="R44" s="705" t="s">
        <v>14</v>
      </c>
      <c r="S44" s="706">
        <f t="shared" si="10"/>
        <v>100</v>
      </c>
      <c r="T44" s="705" t="s">
        <v>14</v>
      </c>
      <c r="U44" s="706">
        <f t="shared" si="11"/>
        <v>100</v>
      </c>
      <c r="V44" s="705" t="s">
        <v>14</v>
      </c>
      <c r="W44" s="706">
        <f t="shared" si="12"/>
        <v>100</v>
      </c>
      <c r="X44" s="1354"/>
      <c r="Y44" s="3686"/>
      <c r="Z44" s="1355">
        <f t="shared" si="13"/>
        <v>111</v>
      </c>
      <c r="AA44" s="1352">
        <f t="shared" si="3"/>
        <v>1</v>
      </c>
      <c r="AB44" s="1352">
        <f t="shared" si="4"/>
        <v>1</v>
      </c>
      <c r="AC44" s="1352">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86"/>
      <c r="Q45" s="1351">
        <f t="shared" si="14"/>
        <v>111</v>
      </c>
      <c r="R45" s="708" t="s">
        <v>14</v>
      </c>
      <c r="S45" s="709">
        <f t="shared" si="10"/>
        <v>100</v>
      </c>
      <c r="T45" s="708" t="s">
        <v>14</v>
      </c>
      <c r="U45" s="709">
        <f t="shared" si="11"/>
        <v>100</v>
      </c>
      <c r="V45" s="708" t="s">
        <v>14</v>
      </c>
      <c r="W45" s="709">
        <f t="shared" si="12"/>
        <v>100</v>
      </c>
      <c r="X45" s="710"/>
      <c r="Y45" s="3686"/>
      <c r="Z45" s="711">
        <f t="shared" si="13"/>
        <v>111</v>
      </c>
      <c r="AA45" s="1352">
        <f t="shared" si="3"/>
        <v>1</v>
      </c>
      <c r="AB45" s="1352">
        <f t="shared" si="4"/>
        <v>1</v>
      </c>
      <c r="AC45" s="1352">
        <f t="shared" si="5"/>
        <v>1</v>
      </c>
    </row>
    <row r="46" spans="1:29" ht="15">
      <c r="A46" s="430" t="s">
        <v>1844</v>
      </c>
      <c r="B46" s="1979" t="s">
        <v>1879</v>
      </c>
      <c r="C46" s="630" t="s">
        <v>0</v>
      </c>
      <c r="D46" s="432"/>
      <c r="E46" s="433"/>
      <c r="F46" s="434"/>
      <c r="G46" s="435"/>
      <c r="H46" s="436"/>
      <c r="I46" s="433"/>
      <c r="J46" s="436"/>
      <c r="K46" s="714"/>
      <c r="L46" s="2721"/>
      <c r="M46" s="2722"/>
      <c r="N46" s="2713"/>
      <c r="O46" s="2722"/>
      <c r="P46" s="3679" t="str">
        <f>A46</f>
        <v>成交单价</v>
      </c>
      <c r="Q46" s="3679"/>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679" t="str">
        <f>A47</f>
        <v>比较价值（元/平方米）</v>
      </c>
      <c r="Q47" s="3679"/>
      <c r="R47" s="3762" t="e">
        <f>ROUND(PRODUCT(R46,AA7:AA45),0)</f>
        <v>#DIV/0!</v>
      </c>
      <c r="S47" s="3762"/>
      <c r="T47" s="3762" t="e">
        <f>ROUND(PRODUCT(T46,AB7:AB45),0)</f>
        <v>#DIV/0!</v>
      </c>
      <c r="U47" s="3762"/>
      <c r="V47" s="3762" t="e">
        <f>ROUND(PRODUCT(V46,AC7:AC45),0)</f>
        <v>#DIV/0!</v>
      </c>
      <c r="W47" s="376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76" t="str">
        <f>A48</f>
        <v>估价对象XX用房的比较价值（楼面单价，元/平方米）</v>
      </c>
      <c r="Q48" s="3677"/>
      <c r="R48" s="3763" t="e">
        <f>ROUND(IF(D47="简单平均",AVERAGE(R47:W47),R47*F47+T47*H47+V47*J47),0)</f>
        <v>#DIV/0!</v>
      </c>
      <c r="S48" s="3763"/>
      <c r="T48" s="3763"/>
      <c r="U48" s="3763"/>
      <c r="V48" s="3763"/>
      <c r="W48" s="376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90" t="s">
        <v>1886</v>
      </c>
      <c r="G55" s="3694" t="s">
        <v>1887</v>
      </c>
      <c r="H55" s="3764"/>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56.8</v>
      </c>
      <c r="F56" s="886" t="e">
        <f t="shared" ref="F56:F64" si="15">ROUND(B56*E56/10000,0)</f>
        <v>#DIV/0!</v>
      </c>
      <c r="G56" s="3690"/>
      <c r="H56" s="3679"/>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56.8</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2"/>
      <c r="M4" s="2713"/>
      <c r="N4" s="2713"/>
      <c r="O4" s="2713"/>
      <c r="P4" s="3698" t="s">
        <v>1775</v>
      </c>
      <c r="Q4" s="3699"/>
      <c r="R4" s="3704" t="s">
        <v>1771</v>
      </c>
      <c r="S4" s="3705"/>
      <c r="T4" s="3704" t="s">
        <v>1772</v>
      </c>
      <c r="U4" s="3705"/>
      <c r="V4" s="3710" t="s">
        <v>1773</v>
      </c>
      <c r="W4" s="3710"/>
      <c r="X4" s="1354"/>
      <c r="Y4" s="3704" t="s">
        <v>1775</v>
      </c>
      <c r="Z4" s="3705"/>
      <c r="AA4" s="3691" t="s">
        <v>1771</v>
      </c>
      <c r="AB4" s="3692" t="s">
        <v>1772</v>
      </c>
      <c r="AC4" s="3691" t="s">
        <v>1773</v>
      </c>
    </row>
    <row r="5" spans="1:29" ht="15">
      <c r="A5" s="358"/>
      <c r="B5" s="359"/>
      <c r="C5" s="3713" t="s">
        <v>1673</v>
      </c>
      <c r="D5" s="3714"/>
      <c r="E5" s="3722" t="s">
        <v>1674</v>
      </c>
      <c r="F5" s="3723"/>
      <c r="G5" s="3713" t="s">
        <v>1675</v>
      </c>
      <c r="H5" s="3714"/>
      <c r="I5" s="3713" t="s">
        <v>1676</v>
      </c>
      <c r="J5" s="3714"/>
      <c r="K5" s="559"/>
      <c r="L5" s="2712"/>
      <c r="M5" s="2713"/>
      <c r="N5" s="2713"/>
      <c r="O5" s="2713"/>
      <c r="P5" s="3700"/>
      <c r="Q5" s="3701"/>
      <c r="R5" s="3706"/>
      <c r="S5" s="3707"/>
      <c r="T5" s="3706"/>
      <c r="U5" s="3707"/>
      <c r="V5" s="3710"/>
      <c r="W5" s="3710"/>
      <c r="X5" s="1354"/>
      <c r="Y5" s="3706"/>
      <c r="Z5" s="3707"/>
      <c r="AA5" s="3692"/>
      <c r="AB5" s="3692"/>
      <c r="AC5" s="3692"/>
    </row>
    <row r="6" spans="1:29" ht="15.75" thickBot="1">
      <c r="A6" s="360"/>
      <c r="B6" s="361"/>
      <c r="C6" s="3765" t="s">
        <v>1919</v>
      </c>
      <c r="D6" s="3766"/>
      <c r="E6" s="3767" t="s">
        <v>1919</v>
      </c>
      <c r="F6" s="3768"/>
      <c r="G6" s="3765" t="s">
        <v>1919</v>
      </c>
      <c r="H6" s="3766"/>
      <c r="I6" s="3765" t="s">
        <v>1919</v>
      </c>
      <c r="J6" s="3766"/>
      <c r="K6" s="559" t="s">
        <v>1678</v>
      </c>
      <c r="L6" s="2712"/>
      <c r="M6" s="2713"/>
      <c r="N6" s="2713"/>
      <c r="O6" s="2713"/>
      <c r="P6" s="3702"/>
      <c r="Q6" s="3703"/>
      <c r="R6" s="3706"/>
      <c r="S6" s="3707"/>
      <c r="T6" s="3708"/>
      <c r="U6" s="3709"/>
      <c r="V6" s="3710"/>
      <c r="W6" s="3710"/>
      <c r="X6" s="1354"/>
      <c r="Y6" s="3708"/>
      <c r="Z6" s="3709"/>
      <c r="AA6" s="3693"/>
      <c r="AB6" s="3693"/>
      <c r="AC6" s="3693"/>
    </row>
    <row r="7" spans="1:29" s="108" customFormat="1" ht="15.75" thickBot="1">
      <c r="A7" s="362" t="s">
        <v>1679</v>
      </c>
      <c r="B7" s="363"/>
      <c r="C7" s="364">
        <f>'数据-取费表'!B2</f>
        <v>45131</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15" t="s">
        <v>1683</v>
      </c>
      <c r="Q8" s="3716"/>
      <c r="R8" s="701" t="s">
        <v>14</v>
      </c>
      <c r="S8" s="702">
        <f t="shared" si="0"/>
        <v>0</v>
      </c>
      <c r="T8" s="701" t="s">
        <v>14</v>
      </c>
      <c r="U8" s="702">
        <f t="shared" si="1"/>
        <v>0</v>
      </c>
      <c r="V8" s="701" t="s">
        <v>14</v>
      </c>
      <c r="W8" s="702">
        <f t="shared" si="2"/>
        <v>0</v>
      </c>
      <c r="X8" s="703"/>
      <c r="Y8" s="3715" t="s">
        <v>1683</v>
      </c>
      <c r="Z8" s="3716"/>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79"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135</v>
      </c>
      <c r="G10" s="383"/>
      <c r="H10" s="127">
        <f>ROUND(100/'数据-取费表'!G16,0)</f>
        <v>135</v>
      </c>
      <c r="I10" s="383"/>
      <c r="J10" s="127">
        <f>ROUND(100/'数据-取费表'!G16,0)</f>
        <v>135</v>
      </c>
      <c r="K10" s="620"/>
      <c r="L10" s="2716"/>
      <c r="M10" s="2717"/>
      <c r="N10" s="2717"/>
      <c r="O10" s="2770"/>
      <c r="P10" s="3679"/>
      <c r="Q10" s="1342" t="str">
        <f t="shared" si="6"/>
        <v>土地使用年限（年）</v>
      </c>
      <c r="R10" s="701" t="s">
        <v>14</v>
      </c>
      <c r="S10" s="702">
        <f t="shared" si="0"/>
        <v>135</v>
      </c>
      <c r="T10" s="701" t="s">
        <v>14</v>
      </c>
      <c r="U10" s="702">
        <f t="shared" si="1"/>
        <v>135</v>
      </c>
      <c r="V10" s="701" t="s">
        <v>14</v>
      </c>
      <c r="W10" s="702">
        <f t="shared" si="2"/>
        <v>135</v>
      </c>
      <c r="X10" s="703"/>
      <c r="Y10" s="3575"/>
      <c r="Z10" s="52" t="str">
        <f t="shared" si="7"/>
        <v>土地使用年限（年）</v>
      </c>
      <c r="AA10" s="704">
        <f t="shared" si="3"/>
        <v>0.7407407407407407</v>
      </c>
      <c r="AB10" s="704">
        <f t="shared" si="4"/>
        <v>0.7407407407407407</v>
      </c>
      <c r="AC10" s="704">
        <f t="shared" si="5"/>
        <v>0.7407407407407407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79"/>
      <c r="Q11" s="1342"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79"/>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79"/>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79"/>
      <c r="Q14" s="1342">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81" t="s">
        <v>1691</v>
      </c>
      <c r="Q15" s="1351" t="str">
        <f t="shared" si="6"/>
        <v>产业集聚程度</v>
      </c>
      <c r="R15" s="705" t="s">
        <v>14</v>
      </c>
      <c r="S15" s="706">
        <f t="shared" si="0"/>
        <v>100</v>
      </c>
      <c r="T15" s="705" t="s">
        <v>14</v>
      </c>
      <c r="U15" s="706">
        <f t="shared" si="1"/>
        <v>100</v>
      </c>
      <c r="V15" s="705" t="s">
        <v>14</v>
      </c>
      <c r="W15" s="706">
        <f t="shared" si="2"/>
        <v>100</v>
      </c>
      <c r="X15" s="1354"/>
      <c r="Y15" s="368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682"/>
      <c r="Q16" s="1351"/>
      <c r="R16" s="705"/>
      <c r="S16" s="706"/>
      <c r="T16" s="705"/>
      <c r="U16" s="706"/>
      <c r="V16" s="705"/>
      <c r="W16" s="706"/>
      <c r="X16" s="1354"/>
      <c r="Y16" s="3682"/>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82"/>
      <c r="Q17" s="1351" t="str">
        <f>B17</f>
        <v>交通便捷度</v>
      </c>
      <c r="R17" s="705" t="s">
        <v>14</v>
      </c>
      <c r="S17" s="706">
        <f>F17</f>
        <v>100</v>
      </c>
      <c r="T17" s="705" t="s">
        <v>14</v>
      </c>
      <c r="U17" s="706">
        <f>H17</f>
        <v>100</v>
      </c>
      <c r="V17" s="705" t="s">
        <v>14</v>
      </c>
      <c r="W17" s="706">
        <f>J17</f>
        <v>100</v>
      </c>
      <c r="X17" s="1354"/>
      <c r="Y17" s="368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682"/>
      <c r="Q18" s="1351"/>
      <c r="R18" s="705"/>
      <c r="S18" s="706"/>
      <c r="T18" s="705"/>
      <c r="U18" s="706"/>
      <c r="V18" s="705"/>
      <c r="W18" s="706"/>
      <c r="X18" s="1354"/>
      <c r="Y18" s="368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82"/>
      <c r="Q19" s="1351" t="str">
        <f t="shared" ref="Q19:Q33" si="8">B19</f>
        <v>区域土地利用方向</v>
      </c>
      <c r="R19" s="705" t="s">
        <v>14</v>
      </c>
      <c r="S19" s="706">
        <f>F19</f>
        <v>100</v>
      </c>
      <c r="T19" s="705" t="s">
        <v>14</v>
      </c>
      <c r="U19" s="706">
        <f>H19</f>
        <v>100</v>
      </c>
      <c r="V19" s="705" t="s">
        <v>14</v>
      </c>
      <c r="W19" s="706">
        <f>J19</f>
        <v>100</v>
      </c>
      <c r="X19" s="1354"/>
      <c r="Y19" s="368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682"/>
      <c r="Q20" s="1351"/>
      <c r="R20" s="705"/>
      <c r="S20" s="706"/>
      <c r="T20" s="705"/>
      <c r="U20" s="706"/>
      <c r="V20" s="705"/>
      <c r="W20" s="706"/>
      <c r="X20" s="1354"/>
      <c r="Y20" s="3682"/>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82"/>
      <c r="Q21" s="1351" t="str">
        <f t="shared" si="8"/>
        <v>环境状况</v>
      </c>
      <c r="R21" s="705" t="s">
        <v>14</v>
      </c>
      <c r="S21" s="706">
        <f>F21</f>
        <v>100</v>
      </c>
      <c r="T21" s="705" t="s">
        <v>14</v>
      </c>
      <c r="U21" s="706">
        <f>H21</f>
        <v>100</v>
      </c>
      <c r="V21" s="705" t="s">
        <v>14</v>
      </c>
      <c r="W21" s="706">
        <f>J21</f>
        <v>100</v>
      </c>
      <c r="X21" s="1354"/>
      <c r="Y21" s="368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682"/>
      <c r="Q22" s="1351"/>
      <c r="R22" s="705"/>
      <c r="S22" s="706"/>
      <c r="T22" s="705"/>
      <c r="U22" s="706"/>
      <c r="V22" s="705"/>
      <c r="W22" s="706"/>
      <c r="X22" s="1354"/>
      <c r="Y22" s="3682"/>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82"/>
      <c r="Q23" s="1342" t="str">
        <f t="shared" si="8"/>
        <v>公共配套设施</v>
      </c>
      <c r="R23" s="701" t="s">
        <v>14</v>
      </c>
      <c r="S23" s="702">
        <f>F23</f>
        <v>100</v>
      </c>
      <c r="T23" s="701" t="s">
        <v>14</v>
      </c>
      <c r="U23" s="702">
        <f>H23</f>
        <v>100</v>
      </c>
      <c r="V23" s="701" t="s">
        <v>14</v>
      </c>
      <c r="W23" s="702">
        <f>J23</f>
        <v>100</v>
      </c>
      <c r="X23" s="703"/>
      <c r="Y23" s="3682"/>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14"/>
      <c r="M24" s="2715"/>
      <c r="N24" s="2715"/>
      <c r="O24" s="2769"/>
      <c r="P24" s="3682"/>
      <c r="Q24" s="1342"/>
      <c r="R24" s="701"/>
      <c r="S24" s="702"/>
      <c r="T24" s="701"/>
      <c r="U24" s="702"/>
      <c r="V24" s="701"/>
      <c r="W24" s="702"/>
      <c r="X24" s="703"/>
      <c r="Y24" s="368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82"/>
      <c r="Q25" s="1342" t="str">
        <f t="shared" ref="Q25" si="9">B25</f>
        <v>基础设施水平</v>
      </c>
      <c r="R25" s="701" t="s">
        <v>14</v>
      </c>
      <c r="S25" s="702">
        <f>F25</f>
        <v>100</v>
      </c>
      <c r="T25" s="701" t="s">
        <v>14</v>
      </c>
      <c r="U25" s="702">
        <f>H25</f>
        <v>100</v>
      </c>
      <c r="V25" s="701" t="s">
        <v>14</v>
      </c>
      <c r="W25" s="702">
        <f>J25</f>
        <v>100</v>
      </c>
      <c r="X25" s="703"/>
      <c r="Y25" s="3682"/>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14"/>
      <c r="M26" s="2715"/>
      <c r="N26" s="2715"/>
      <c r="O26" s="2769"/>
      <c r="P26" s="3682"/>
      <c r="Q26" s="1342"/>
      <c r="R26" s="701"/>
      <c r="S26" s="702"/>
      <c r="T26" s="701"/>
      <c r="U26" s="702"/>
      <c r="V26" s="701"/>
      <c r="W26" s="702"/>
      <c r="X26" s="703"/>
      <c r="Y26" s="368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8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82"/>
      <c r="Z27" s="1355" t="str">
        <f t="shared" ref="Z27:Z40" si="13">Q27</f>
        <v>临街状况</v>
      </c>
      <c r="AA27" s="1352">
        <f t="shared" si="3"/>
        <v>1</v>
      </c>
      <c r="AB27" s="1352">
        <f t="shared" si="4"/>
        <v>1</v>
      </c>
      <c r="AC27" s="1352">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82"/>
      <c r="Q28" s="1351" t="str">
        <f t="shared" si="8"/>
        <v>毗邻道路的类型与等级</v>
      </c>
      <c r="R28" s="705" t="s">
        <v>14</v>
      </c>
      <c r="S28" s="706">
        <f t="shared" si="10"/>
        <v>100</v>
      </c>
      <c r="T28" s="705" t="s">
        <v>14</v>
      </c>
      <c r="U28" s="706">
        <f t="shared" si="11"/>
        <v>100</v>
      </c>
      <c r="V28" s="705" t="s">
        <v>14</v>
      </c>
      <c r="W28" s="706">
        <f t="shared" si="12"/>
        <v>100</v>
      </c>
      <c r="X28" s="1354"/>
      <c r="Y28" s="368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682"/>
      <c r="Q29" s="1351"/>
      <c r="R29" s="705"/>
      <c r="S29" s="706"/>
      <c r="T29" s="705"/>
      <c r="U29" s="706"/>
      <c r="V29" s="705"/>
      <c r="W29" s="706"/>
      <c r="X29" s="1354"/>
      <c r="Y29" s="3682"/>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82"/>
      <c r="Q30" s="1351" t="str">
        <f t="shared" si="8"/>
        <v>土地级别</v>
      </c>
      <c r="R30" s="705" t="s">
        <v>14</v>
      </c>
      <c r="S30" s="706">
        <f t="shared" si="10"/>
        <v>100</v>
      </c>
      <c r="T30" s="705" t="s">
        <v>14</v>
      </c>
      <c r="U30" s="706">
        <f t="shared" si="11"/>
        <v>100</v>
      </c>
      <c r="V30" s="705" t="s">
        <v>14</v>
      </c>
      <c r="W30" s="706">
        <f t="shared" si="12"/>
        <v>100</v>
      </c>
      <c r="X30" s="1354"/>
      <c r="Y30" s="3682"/>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82"/>
      <c r="Q31" s="1351">
        <f t="shared" si="8"/>
        <v>111</v>
      </c>
      <c r="R31" s="705" t="s">
        <v>14</v>
      </c>
      <c r="S31" s="706">
        <f t="shared" si="10"/>
        <v>100</v>
      </c>
      <c r="T31" s="705" t="s">
        <v>14</v>
      </c>
      <c r="U31" s="706">
        <f t="shared" si="11"/>
        <v>100</v>
      </c>
      <c r="V31" s="705" t="s">
        <v>14</v>
      </c>
      <c r="W31" s="706">
        <f t="shared" si="12"/>
        <v>100</v>
      </c>
      <c r="X31" s="1354"/>
      <c r="Y31" s="3682"/>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60" t="s">
        <v>1696</v>
      </c>
      <c r="Q32" s="1351">
        <f t="shared" si="8"/>
        <v>111</v>
      </c>
      <c r="R32" s="705" t="s">
        <v>14</v>
      </c>
      <c r="S32" s="706">
        <f t="shared" si="10"/>
        <v>100</v>
      </c>
      <c r="T32" s="705" t="s">
        <v>14</v>
      </c>
      <c r="U32" s="706">
        <f t="shared" si="11"/>
        <v>100</v>
      </c>
      <c r="V32" s="705" t="s">
        <v>14</v>
      </c>
      <c r="W32" s="706">
        <f t="shared" si="12"/>
        <v>100</v>
      </c>
      <c r="X32" s="1354"/>
      <c r="Y32" s="3686" t="s">
        <v>1696</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86"/>
      <c r="Q33" s="1351">
        <f t="shared" si="8"/>
        <v>111</v>
      </c>
      <c r="R33" s="708" t="s">
        <v>14</v>
      </c>
      <c r="S33" s="709">
        <f t="shared" si="10"/>
        <v>100</v>
      </c>
      <c r="T33" s="708" t="s">
        <v>14</v>
      </c>
      <c r="U33" s="709">
        <f t="shared" si="11"/>
        <v>100</v>
      </c>
      <c r="V33" s="708" t="s">
        <v>14</v>
      </c>
      <c r="W33" s="709">
        <f t="shared" si="12"/>
        <v>100</v>
      </c>
      <c r="X33" s="710"/>
      <c r="Y33" s="368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86"/>
      <c r="Q34" s="1351" t="str">
        <f>B34</f>
        <v>宗地面积</v>
      </c>
      <c r="R34" s="705" t="s">
        <v>14</v>
      </c>
      <c r="S34" s="706" t="e">
        <f t="shared" si="10"/>
        <v>#N/A</v>
      </c>
      <c r="T34" s="705" t="s">
        <v>14</v>
      </c>
      <c r="U34" s="706" t="e">
        <f t="shared" si="11"/>
        <v>#N/A</v>
      </c>
      <c r="V34" s="705" t="s">
        <v>14</v>
      </c>
      <c r="W34" s="706" t="e">
        <f t="shared" si="12"/>
        <v>#N/A</v>
      </c>
      <c r="X34" s="1354"/>
      <c r="Y34" s="368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686"/>
      <c r="Q35" s="1351" t="str">
        <f t="shared" ref="Q35:Q40" si="14">B35</f>
        <v>宗地形状</v>
      </c>
      <c r="R35" s="705" t="s">
        <v>14</v>
      </c>
      <c r="S35" s="706">
        <f t="shared" si="10"/>
        <v>100</v>
      </c>
      <c r="T35" s="705" t="s">
        <v>14</v>
      </c>
      <c r="U35" s="706">
        <f t="shared" si="11"/>
        <v>100</v>
      </c>
      <c r="V35" s="705" t="s">
        <v>14</v>
      </c>
      <c r="W35" s="706">
        <f t="shared" si="12"/>
        <v>100</v>
      </c>
      <c r="X35" s="1354"/>
      <c r="Y35" s="3686"/>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86"/>
      <c r="Q36" s="1351" t="str">
        <f t="shared" si="14"/>
        <v>宗地开发程度</v>
      </c>
      <c r="R36" s="701" t="s">
        <v>14</v>
      </c>
      <c r="S36" s="702">
        <f t="shared" si="10"/>
        <v>100</v>
      </c>
      <c r="T36" s="701" t="s">
        <v>14</v>
      </c>
      <c r="U36" s="702">
        <f t="shared" si="11"/>
        <v>100</v>
      </c>
      <c r="V36" s="701" t="s">
        <v>14</v>
      </c>
      <c r="W36" s="702">
        <f t="shared" si="12"/>
        <v>100</v>
      </c>
      <c r="X36" s="703"/>
      <c r="Y36" s="368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686" t="s">
        <v>1696</v>
      </c>
      <c r="Q37" s="1351" t="str">
        <f t="shared" si="14"/>
        <v>工程地质条件</v>
      </c>
      <c r="R37" s="705" t="s">
        <v>14</v>
      </c>
      <c r="S37" s="706">
        <f t="shared" si="10"/>
        <v>100</v>
      </c>
      <c r="T37" s="705" t="s">
        <v>14</v>
      </c>
      <c r="U37" s="706">
        <f t="shared" si="11"/>
        <v>100</v>
      </c>
      <c r="V37" s="705" t="s">
        <v>14</v>
      </c>
      <c r="W37" s="706">
        <f t="shared" si="12"/>
        <v>100</v>
      </c>
      <c r="X37" s="1354"/>
      <c r="Y37" s="368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86"/>
      <c r="Q38" s="1351">
        <f t="shared" si="14"/>
        <v>111</v>
      </c>
      <c r="R38" s="705" t="s">
        <v>14</v>
      </c>
      <c r="S38" s="706">
        <f t="shared" si="10"/>
        <v>100</v>
      </c>
      <c r="T38" s="705" t="s">
        <v>14</v>
      </c>
      <c r="U38" s="706">
        <f t="shared" si="11"/>
        <v>100</v>
      </c>
      <c r="V38" s="705" t="s">
        <v>14</v>
      </c>
      <c r="W38" s="706">
        <f t="shared" si="12"/>
        <v>100</v>
      </c>
      <c r="X38" s="1354"/>
      <c r="Y38" s="368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86"/>
      <c r="Q39" s="1351">
        <f t="shared" si="14"/>
        <v>111</v>
      </c>
      <c r="R39" s="705" t="s">
        <v>14</v>
      </c>
      <c r="S39" s="706">
        <f t="shared" si="10"/>
        <v>100</v>
      </c>
      <c r="T39" s="705" t="s">
        <v>14</v>
      </c>
      <c r="U39" s="706">
        <f t="shared" si="11"/>
        <v>100</v>
      </c>
      <c r="V39" s="705" t="s">
        <v>14</v>
      </c>
      <c r="W39" s="706">
        <f t="shared" si="12"/>
        <v>100</v>
      </c>
      <c r="X39" s="1354"/>
      <c r="Y39" s="3686"/>
      <c r="Z39" s="1355">
        <f t="shared" si="13"/>
        <v>111</v>
      </c>
      <c r="AA39" s="1352">
        <f t="shared" si="3"/>
        <v>1</v>
      </c>
      <c r="AB39" s="1352">
        <f t="shared" si="4"/>
        <v>1</v>
      </c>
      <c r="AC39" s="1352">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86"/>
      <c r="Q40" s="1351">
        <f t="shared" si="14"/>
        <v>111</v>
      </c>
      <c r="R40" s="708" t="s">
        <v>14</v>
      </c>
      <c r="S40" s="709">
        <f t="shared" si="10"/>
        <v>100</v>
      </c>
      <c r="T40" s="708" t="s">
        <v>14</v>
      </c>
      <c r="U40" s="709">
        <f t="shared" si="11"/>
        <v>100</v>
      </c>
      <c r="V40" s="708" t="s">
        <v>14</v>
      </c>
      <c r="W40" s="709">
        <f t="shared" si="12"/>
        <v>100</v>
      </c>
      <c r="X40" s="710"/>
      <c r="Y40" s="3686"/>
      <c r="Z40" s="711">
        <f t="shared" si="13"/>
        <v>111</v>
      </c>
      <c r="AA40" s="1352">
        <f t="shared" si="3"/>
        <v>1</v>
      </c>
      <c r="AB40" s="1352">
        <f t="shared" si="4"/>
        <v>1</v>
      </c>
      <c r="AC40" s="1352">
        <f t="shared" si="5"/>
        <v>1</v>
      </c>
    </row>
    <row r="41" spans="1:31" ht="15">
      <c r="A41" s="430" t="s">
        <v>1844</v>
      </c>
      <c r="B41" s="1979" t="s">
        <v>1922</v>
      </c>
      <c r="C41" s="630" t="s">
        <v>0</v>
      </c>
      <c r="D41" s="432"/>
      <c r="E41" s="433"/>
      <c r="F41" s="434"/>
      <c r="G41" s="435"/>
      <c r="H41" s="436"/>
      <c r="I41" s="433"/>
      <c r="J41" s="436"/>
      <c r="K41" s="714"/>
      <c r="L41" s="2721"/>
      <c r="M41" s="2713"/>
      <c r="N41" s="2713"/>
      <c r="O41" s="2722"/>
      <c r="P41" s="3679" t="str">
        <f>A41</f>
        <v>成交单价</v>
      </c>
      <c r="Q41" s="3679"/>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679" t="str">
        <f>A42</f>
        <v>比较价值（元/平方米）</v>
      </c>
      <c r="Q42" s="3679"/>
      <c r="R42" s="3762" t="e">
        <f>ROUND(PRODUCT(R41,AA7:AA40),0)</f>
        <v>#DIV/0!</v>
      </c>
      <c r="S42" s="3762"/>
      <c r="T42" s="3762" t="e">
        <f>ROUND(PRODUCT(T41,AB7:AB40),0)</f>
        <v>#DIV/0!</v>
      </c>
      <c r="U42" s="3762"/>
      <c r="V42" s="3762" t="e">
        <f>ROUND(PRODUCT(V41,AC7:AC40),0)</f>
        <v>#DIV/0!</v>
      </c>
      <c r="W42" s="376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76" t="str">
        <f>A43</f>
        <v>估价对象XX用房的比较价值（楼面单价，元/平方米）</v>
      </c>
      <c r="Q43" s="3677"/>
      <c r="R43" s="3763" t="e">
        <f>ROUND(IF(D42="简单平均",AVERAGE(R42:W42),R42*F42+T42*H42+V42*J42),0)</f>
        <v>#DIV/0!</v>
      </c>
      <c r="S43" s="3763"/>
      <c r="T43" s="3763"/>
      <c r="U43" s="3763"/>
      <c r="V43" s="3763"/>
      <c r="W43" s="376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694" t="s">
        <v>1887</v>
      </c>
      <c r="H50" s="3764"/>
      <c r="I50" s="1355" t="s">
        <v>1923</v>
      </c>
      <c r="J50" s="1355">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56.8</v>
      </c>
      <c r="F51" s="639" t="e">
        <f t="shared" ref="F51:F60" si="15">ROUND(B51*E51/10000,0)</f>
        <v>#DIV/0!</v>
      </c>
      <c r="G51" s="3690"/>
      <c r="H51" s="3679"/>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2" t="s">
        <v>2084</v>
      </c>
      <c r="D1" s="3773"/>
      <c r="E1" s="3773"/>
      <c r="F1" s="3773"/>
      <c r="G1" s="3773"/>
      <c r="H1" s="3773"/>
      <c r="I1" s="3773"/>
      <c r="J1" s="3773"/>
      <c r="K1" s="3773"/>
      <c r="L1" s="3773"/>
      <c r="M1" s="3773"/>
      <c r="N1" s="3773"/>
      <c r="O1" s="3773"/>
      <c r="P1" s="3773"/>
      <c r="Q1" s="3773"/>
      <c r="R1" s="3773"/>
      <c r="S1" s="377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0"/>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9" t="s">
        <v>27</v>
      </c>
      <c r="D22" s="3770"/>
      <c r="E22" s="3770"/>
      <c r="F22" s="3770"/>
      <c r="G22" s="3770"/>
      <c r="H22" s="3770"/>
      <c r="I22" s="3770"/>
      <c r="J22" s="3770"/>
      <c r="K22" s="3770"/>
      <c r="L22" s="3770"/>
      <c r="M22" s="3770"/>
      <c r="N22" s="3770"/>
      <c r="O22" s="3770"/>
      <c r="P22" s="3770"/>
      <c r="Q22" s="377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4"/>
      <c r="C1" s="2144"/>
      <c r="D1" s="2144"/>
      <c r="E1" s="2144"/>
      <c r="F1" s="2790"/>
      <c r="G1" s="2790"/>
      <c r="H1" s="2790"/>
      <c r="I1" s="2790"/>
      <c r="J1" s="2790"/>
      <c r="K1" s="2790"/>
      <c r="L1" s="2790"/>
      <c r="M1" s="2790"/>
      <c r="N1" s="2790"/>
      <c r="O1" s="2790"/>
      <c r="P1" s="2790"/>
    </row>
    <row r="2" spans="1:16" ht="15.75">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75">
      <c r="A3" s="2142" t="s">
        <v>2076</v>
      </c>
      <c r="B3" s="2599" t="e">
        <f ca="1">ROUND(B2*10000/E2,0)</f>
        <v>#DIV/0!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70" zoomScaleNormal="80" zoomScaleSheetLayoutView="70" workbookViewId="0">
      <selection activeCell="E40" sqref="E40"/>
    </sheetView>
  </sheetViews>
  <sheetFormatPr defaultColWidth="12" defaultRowHeight="12.75"/>
  <cols>
    <col min="1" max="1" width="9.625" style="2050" customWidth="1"/>
    <col min="2" max="2" width="22.5" style="2141" customWidth="1"/>
    <col min="3" max="3" width="12" style="1995"/>
    <col min="4" max="4" width="14.875" style="1995" customWidth="1"/>
    <col min="5" max="5" width="14.625" style="1995" customWidth="1"/>
    <col min="6" max="8" width="12" style="1995"/>
    <col min="9" max="9" width="12.125" style="1995" bestFit="1" customWidth="1"/>
    <col min="10" max="10" width="12" style="1995"/>
    <col min="11" max="11" width="8.125" style="2046" customWidth="1"/>
    <col min="12" max="12" width="19.5" style="1995" customWidth="1"/>
    <col min="13" max="13" width="8.5" style="1995" customWidth="1"/>
    <col min="14" max="14" width="9.62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9"/>
      <c r="L2" s="2000" t="s">
        <v>1939</v>
      </c>
      <c r="M2" s="864">
        <f>SUMPRODUCT((区片价!B10:B29=I2)*(区片价!C3:G3=E2)*(区片价!C10:G29))</f>
        <v>0</v>
      </c>
      <c r="N2" s="866">
        <f>SUMPRODUCT((因素修正幅度!B10:B29=I2)*(因素修正幅度!C3:G3=E2)*(因素修正幅度!C10:G29))</f>
        <v>0</v>
      </c>
      <c r="O2" s="1119"/>
      <c r="P2" s="1119"/>
      <c r="Q2" s="1119"/>
      <c r="R2" s="1211">
        <v>1</v>
      </c>
      <c r="S2" s="3358">
        <f>ROUND(SUMPRODUCT((B106:B110=R2)*(C105:N105=G2)*(C106:N110)),4)</f>
        <v>0</v>
      </c>
      <c r="T2" s="3358" t="e">
        <f t="shared" ref="T2:T16" si="0">ROUND($C$5*$C$22*$C$23*$C$24*S2*$C$28,0)</f>
        <v>#DIV/0!</v>
      </c>
      <c r="U2" s="1212"/>
      <c r="V2" s="3358"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6" t="s">
        <v>1941</v>
      </c>
      <c r="D3" s="1997" t="s">
        <v>1942</v>
      </c>
      <c r="E3" s="3417"/>
      <c r="F3" s="2001"/>
      <c r="G3" s="752">
        <f>IF(F3="宗地容积率",'数据-汇总表'!I4,IF(F3="估价对象容积率",'数据-汇总表'!I6,'数据-汇总表'!I7))</f>
        <v>0</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1">
        <v>2</v>
      </c>
      <c r="S3" s="3358">
        <f>ROUND(SUMPRODUCT((B106:B110=R3)*(C105:N105=G2)*(C106:N110)),4)</f>
        <v>0</v>
      </c>
      <c r="T3" s="3358" t="e">
        <f t="shared" si="0"/>
        <v>#DIV/0!</v>
      </c>
      <c r="U3" s="1212"/>
      <c r="V3" s="3358" t="e">
        <f t="shared" ref="V3:V16" si="1">ROUND(T3*U3/10000,0)</f>
        <v>#DIV/0!</v>
      </c>
      <c r="W3" s="1215"/>
      <c r="X3" s="1215"/>
      <c r="Y3" s="1215"/>
      <c r="Z3" s="1215"/>
      <c r="AA3" s="1215"/>
      <c r="AB3" s="1215"/>
      <c r="AC3" s="1216"/>
      <c r="AD3" s="1217"/>
      <c r="AE3" s="1217"/>
      <c r="AF3" s="1217"/>
      <c r="AG3" s="1217"/>
      <c r="AH3" s="1217"/>
      <c r="AI3" s="1217"/>
      <c r="AJ3" s="1218"/>
    </row>
    <row r="4" spans="1:36" ht="15.75">
      <c r="A4" s="3782"/>
      <c r="B4" s="3783"/>
      <c r="C4" s="3783"/>
      <c r="D4" s="3784"/>
      <c r="E4" s="3784"/>
      <c r="F4" s="3784"/>
      <c r="G4" s="3784"/>
      <c r="H4" s="3784"/>
      <c r="I4" s="3784"/>
      <c r="J4" s="3785"/>
      <c r="K4" s="1119"/>
      <c r="L4" s="2000" t="s">
        <v>1946</v>
      </c>
      <c r="M4" s="864">
        <f>SUMPRODUCT((区片价!B55:B86=I2)*(区片价!C3:G3=E2)*(区片价!C55:G86))</f>
        <v>0</v>
      </c>
      <c r="N4" s="866">
        <f>SUMPRODUCT((因素修正幅度!B55:B86=I2)*(因素修正幅度!C3:G3=E2)*(因素修正幅度!C55:G86))</f>
        <v>0</v>
      </c>
      <c r="O4" s="1119"/>
      <c r="P4" s="1119"/>
      <c r="Q4" s="1119"/>
      <c r="R4" s="1211">
        <v>3</v>
      </c>
      <c r="S4" s="3358">
        <f>ROUND(SUMPRODUCT((B106:B110=R4)*(C105:N105=G2)*(C106:N110)),4)</f>
        <v>0</v>
      </c>
      <c r="T4" s="3358" t="e">
        <f t="shared" si="0"/>
        <v>#DIV/0!</v>
      </c>
      <c r="U4" s="1212"/>
      <c r="V4" s="3358" t="e">
        <f t="shared" si="1"/>
        <v>#DIV/0!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3" t="e">
        <f>ROUND(IF(E2="商业",C6*C7*C17+C20,(IF(E2="住宅",C6*C13*C17+C20,IF(E2="办公",C6*C12*C17+C20,C6+C20)))),0)</f>
        <v>#DIV/0!</v>
      </c>
      <c r="D5" s="1338" t="e">
        <f>ROUND(C6*C17+C20,0)</f>
        <v>#DIV/0!</v>
      </c>
      <c r="E5" s="1338"/>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1">
        <v>4</v>
      </c>
      <c r="S5" s="3358">
        <f>ROUND(SUMPRODUCT((B106:B110=R5)*(C105:N105=G2)*(C106:N110)),4)</f>
        <v>0</v>
      </c>
      <c r="T5" s="3358" t="e">
        <f t="shared" si="0"/>
        <v>#DIV/0!</v>
      </c>
      <c r="U5" s="1212"/>
      <c r="V5" s="3358" t="e">
        <f t="shared" si="1"/>
        <v>#DIV/0!</v>
      </c>
      <c r="W5" s="1215"/>
      <c r="X5" s="1215"/>
      <c r="Y5" s="1215"/>
      <c r="Z5" s="1215"/>
      <c r="AA5" s="1215"/>
      <c r="AB5" s="1215"/>
      <c r="AC5" s="2008"/>
      <c r="AD5" s="2009"/>
      <c r="AE5" s="2009"/>
      <c r="AF5" s="2009"/>
      <c r="AG5" s="2009"/>
      <c r="AH5" s="2009"/>
      <c r="AI5" s="2009"/>
      <c r="AJ5" s="2010"/>
    </row>
    <row r="6" spans="1:36" ht="15.75" thickBot="1">
      <c r="A6" s="2012" t="s">
        <v>1949</v>
      </c>
      <c r="B6" s="2013" t="s">
        <v>1950</v>
      </c>
      <c r="C6" s="754">
        <f>SUMIF(L1:L12,G2,M1:M12)</f>
        <v>0</v>
      </c>
      <c r="D6" s="2014"/>
      <c r="E6" s="2015"/>
      <c r="F6" s="2015"/>
      <c r="G6" s="2016"/>
      <c r="H6" s="2016"/>
      <c r="I6" s="2016"/>
      <c r="J6" s="2017"/>
      <c r="K6" s="1383"/>
      <c r="L6" s="2000" t="s">
        <v>1951</v>
      </c>
      <c r="M6" s="864">
        <f>SUMPRODUCT((区片价!B127:B189=I2)*(区片价!C3:G3=E2)*(区片价!C127:G189))</f>
        <v>0</v>
      </c>
      <c r="N6" s="866">
        <f>SUMPRODUCT((因素修正幅度!B127:B189=I2)*(因素修正幅度!C3:G3=E2)*(因素修正幅度!C127:G189))</f>
        <v>0</v>
      </c>
      <c r="O6" s="1119"/>
      <c r="P6" s="1119"/>
      <c r="Q6" s="1119"/>
      <c r="R6" s="1211">
        <v>5</v>
      </c>
      <c r="S6" s="3358">
        <f>ROUND(SUMPRODUCT((B106:B110=R6)*(C105:N105=G2)*(C106:N110)),4)</f>
        <v>0</v>
      </c>
      <c r="T6" s="3358" t="e">
        <f t="shared" si="0"/>
        <v>#DIV/0!</v>
      </c>
      <c r="U6" s="1212"/>
      <c r="V6" s="3358" t="e">
        <f t="shared" si="1"/>
        <v>#DIV/0!</v>
      </c>
      <c r="W6" s="1215"/>
      <c r="X6" s="1215"/>
      <c r="Y6" s="1215"/>
      <c r="Z6" s="1215"/>
      <c r="AA6" s="1215"/>
      <c r="AB6" s="1215"/>
      <c r="AC6" s="2008"/>
      <c r="AD6" s="2009"/>
      <c r="AE6" s="2009"/>
      <c r="AF6" s="2009"/>
      <c r="AG6" s="2009"/>
      <c r="AH6" s="2009"/>
      <c r="AI6" s="2009"/>
      <c r="AJ6" s="2010"/>
    </row>
    <row r="7" spans="1:36" ht="24.75" thickBot="1">
      <c r="A7" s="3301" t="s">
        <v>3244</v>
      </c>
      <c r="B7" s="2018" t="s">
        <v>1952</v>
      </c>
      <c r="C7" s="755" t="e">
        <f>IF(C8="不临65条商业街",1,ROUND(1+(1.6*E8+1.2*E9+0.8*E10+0.4*E11)*C9,4))</f>
        <v>#DIV/0!</v>
      </c>
      <c r="D7" s="2019" t="s">
        <v>1953</v>
      </c>
      <c r="E7" s="776"/>
      <c r="F7" s="2020"/>
      <c r="G7" s="2021"/>
      <c r="H7" s="2021"/>
      <c r="I7" s="2021"/>
      <c r="J7" s="2022"/>
      <c r="K7" s="1383"/>
      <c r="L7" s="2000" t="s">
        <v>1954</v>
      </c>
      <c r="M7" s="864">
        <f>SUMPRODUCT((区片价!B190:B233=I2)*(区片价!C3:G3=E2)*(区片价!C190:G233))</f>
        <v>0</v>
      </c>
      <c r="N7" s="866">
        <f>SUMPRODUCT((因素修正幅度!B190:B233=I2)*(因素修正幅度!C3:G3=E2)*(因素修正幅度!C190:G233))</f>
        <v>0</v>
      </c>
      <c r="O7" s="1119"/>
      <c r="P7" s="1119"/>
      <c r="Q7" s="1119"/>
      <c r="R7" s="1211">
        <v>6</v>
      </c>
      <c r="S7" s="3416"/>
      <c r="T7" s="3358" t="e">
        <f t="shared" si="0"/>
        <v>#DIV/0!</v>
      </c>
      <c r="U7" s="1212"/>
      <c r="V7" s="3358"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6"/>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1">
        <v>7</v>
      </c>
      <c r="S8" s="1212"/>
      <c r="T8" s="3358" t="e">
        <f t="shared" si="0"/>
        <v>#DIV/0!</v>
      </c>
      <c r="U8" s="1212"/>
      <c r="V8" s="3358" t="e">
        <f t="shared" si="1"/>
        <v>#DIV/0!</v>
      </c>
      <c r="W8" s="3779" t="s">
        <v>1960</v>
      </c>
      <c r="X8" s="378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1">
        <v>8</v>
      </c>
      <c r="S9" s="1212"/>
      <c r="T9" s="3358" t="e">
        <f t="shared" si="0"/>
        <v>#DIV/0!</v>
      </c>
      <c r="U9" s="1212"/>
      <c r="V9" s="3358" t="e">
        <f t="shared" si="1"/>
        <v>#DIV/0!</v>
      </c>
      <c r="W9" s="3781"/>
      <c r="X9" s="3359" t="s">
        <v>3275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8" t="e">
        <f t="shared" si="0"/>
        <v>#DIV/0!</v>
      </c>
      <c r="U10" s="1212"/>
      <c r="V10" s="3358" t="e">
        <f t="shared" si="1"/>
        <v>#DIV/0!</v>
      </c>
      <c r="W10" s="378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3245</v>
      </c>
      <c r="B12" s="3302" t="s">
        <v>3246</v>
      </c>
      <c r="C12" s="3303"/>
      <c r="D12" s="3304" t="s">
        <v>3247</v>
      </c>
      <c r="E12" s="3305" t="s">
        <v>3248</v>
      </c>
      <c r="F12" s="3306"/>
      <c r="G12" s="3307"/>
      <c r="H12" s="3307"/>
      <c r="I12" s="3307"/>
      <c r="J12" s="3308"/>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3249</v>
      </c>
      <c r="B13" s="2031" t="s">
        <v>1982</v>
      </c>
      <c r="C13" s="755">
        <f>ROUND(C16*D16*E16*F16*G16*H16*I16*J16,4)</f>
        <v>0</v>
      </c>
      <c r="D13" s="2032" t="s">
        <v>1983</v>
      </c>
      <c r="E13" s="2033"/>
      <c r="F13" s="2033"/>
      <c r="G13" s="2034"/>
      <c r="H13" s="2034"/>
      <c r="I13" s="2034"/>
      <c r="J13" s="2035"/>
      <c r="K13" s="1119"/>
      <c r="L13" s="3297"/>
      <c r="M13" s="3298"/>
      <c r="N13" s="3299"/>
      <c r="O13" s="1119"/>
      <c r="P13" s="1119"/>
      <c r="Q13" s="1119"/>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7" t="s">
        <v>1985</v>
      </c>
      <c r="C14" s="2038" t="s">
        <v>1986</v>
      </c>
      <c r="D14" s="1349" t="s">
        <v>1987</v>
      </c>
      <c r="E14" s="27" t="s">
        <v>1988</v>
      </c>
      <c r="F14" s="3309" t="s">
        <v>3250</v>
      </c>
      <c r="G14" s="3309" t="s">
        <v>3250</v>
      </c>
      <c r="H14" s="3309" t="s">
        <v>3250</v>
      </c>
      <c r="I14" s="3309" t="s">
        <v>3250</v>
      </c>
      <c r="J14" s="3309" t="s">
        <v>3250</v>
      </c>
      <c r="K14" s="1119"/>
      <c r="L14" s="1119"/>
      <c r="M14" s="1119"/>
      <c r="N14" s="1119"/>
      <c r="O14" s="1119"/>
      <c r="P14" s="1119"/>
      <c r="Q14" s="1119"/>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39"/>
      <c r="C15" s="2040"/>
      <c r="D15" s="2041"/>
      <c r="E15" s="2042"/>
      <c r="F15" s="3310" t="s">
        <v>3251</v>
      </c>
      <c r="G15" s="3311"/>
      <c r="H15" s="3312"/>
      <c r="I15" s="3313"/>
      <c r="J15" s="3314"/>
      <c r="K15" s="1119"/>
      <c r="L15" s="1119"/>
      <c r="M15" s="1119"/>
      <c r="N15" s="1119"/>
      <c r="O15" s="1119"/>
      <c r="P15" s="1119"/>
      <c r="Q15" s="1119"/>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4"/>
      <c r="M16" s="1994"/>
      <c r="N16" s="1994"/>
      <c r="O16" s="1994"/>
      <c r="P16" s="1994"/>
      <c r="Q16" s="1119"/>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3252</v>
      </c>
      <c r="B17" s="3318" t="s">
        <v>3253</v>
      </c>
      <c r="C17" s="3328">
        <f>ROUND(IF(OR(E2="工业",E2="公共服务"),1,IF(AND(E18=0,E19=0),1,IF(AND(E18=J24,E19=G19),0.8,IF(E19=0,1+E17*(-0.2),1+E17*G17*(-0.2))))),4)</f>
        <v>1</v>
      </c>
      <c r="D17" s="3319" t="s">
        <v>3254</v>
      </c>
      <c r="E17" s="3328" t="e">
        <f>ROUND(G18/I18,2)</f>
        <v>#DIV/0!</v>
      </c>
      <c r="F17" s="3319" t="s">
        <v>3257</v>
      </c>
      <c r="G17" s="3328" t="e">
        <f>ROUND(E19/G19,2)</f>
        <v>#DIV/0!</v>
      </c>
      <c r="H17" s="3328"/>
      <c r="I17" s="3328"/>
      <c r="J17" s="3329"/>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30"/>
      <c r="B18" s="3007"/>
      <c r="C18" s="3325"/>
      <c r="D18" s="3320" t="s">
        <v>3255</v>
      </c>
      <c r="E18" s="3326"/>
      <c r="F18" s="3321" t="s">
        <v>3258</v>
      </c>
      <c r="G18" s="3325">
        <f>ROUND(1-(1/(POWER(1+G24,E18))),4)</f>
        <v>0</v>
      </c>
      <c r="H18" s="3321" t="s">
        <v>3260</v>
      </c>
      <c r="I18" s="3325">
        <f>ROUND(1-(1/(POWER(1+G24,J24))),4)</f>
        <v>0</v>
      </c>
      <c r="J18" s="3331"/>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1" customFormat="1" ht="15" thickBot="1">
      <c r="A19" s="3332"/>
      <c r="B19" s="3333"/>
      <c r="C19" s="3334"/>
      <c r="D19" s="3334" t="s">
        <v>3256</v>
      </c>
      <c r="E19" s="3335"/>
      <c r="F19" s="3336" t="s">
        <v>3259</v>
      </c>
      <c r="G19" s="3335"/>
      <c r="H19" s="3334"/>
      <c r="I19" s="3334"/>
      <c r="J19" s="3337"/>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1" customFormat="1" ht="14.25">
      <c r="A20" s="3786" t="s">
        <v>3261</v>
      </c>
      <c r="B20" s="167" t="s">
        <v>1994</v>
      </c>
      <c r="C20" s="3322" t="e">
        <f>ROUND(IF(F21="与级别开发程度一致",0,(G21-E21)/C21),0)</f>
        <v>#DIV/0!</v>
      </c>
      <c r="D20" s="3338" t="s">
        <v>1998</v>
      </c>
      <c r="E20" s="3339"/>
      <c r="F20" s="3792" t="s">
        <v>1995</v>
      </c>
      <c r="G20" s="3793"/>
      <c r="H20" s="3323"/>
      <c r="I20" s="3323"/>
      <c r="J20" s="3324"/>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1" customFormat="1" ht="15" thickBot="1">
      <c r="A21" s="3787"/>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1" customFormat="1" ht="15.75" thickBot="1">
      <c r="A22" s="2155" t="s">
        <v>363</v>
      </c>
      <c r="B22" s="2156" t="s">
        <v>2000</v>
      </c>
      <c r="C22" s="2157">
        <f>SUMIF(修正!C20:C51,E3,修正!E20:E51)</f>
        <v>0</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61">
        <v>44197</v>
      </c>
      <c r="F23" s="2051" t="s">
        <v>2003</v>
      </c>
      <c r="G23" s="762">
        <f>'数据-取费表'!B2</f>
        <v>45131</v>
      </c>
      <c r="H23" s="3340" t="s">
        <v>3263</v>
      </c>
      <c r="I23" s="3341" t="str">
        <f>IF(H23="季度增幅（自定义）",SUMIF(N25:N28,E2,O25:O28),"")</f>
        <v/>
      </c>
      <c r="J23" s="3443" t="s">
        <v>3262</v>
      </c>
      <c r="K23" s="1125"/>
      <c r="L23" s="2052" t="s">
        <v>2004</v>
      </c>
      <c r="M23" s="1327">
        <f>ROUND(SUMIF(地价!B2:G2,E2,地价!B16:G16),0)</f>
        <v>0</v>
      </c>
      <c r="N23" s="2053" t="s">
        <v>2005</v>
      </c>
      <c r="O23" s="763">
        <f>ROUNDDOWN(DATEDIF(E23,G23,"M")/3,0)</f>
        <v>10</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t="e">
        <f>ROUND(POWER(1+G24,J24-I24)*(POWER(1+G24,I24)-1)/(POWER(1+G24,J24)-1),4)</f>
        <v>#DIV/0!</v>
      </c>
      <c r="D24" s="2057" t="s">
        <v>2007</v>
      </c>
      <c r="E24" s="1334">
        <f>存贷款利率!E22/100</f>
        <v>4.3499999999999997E-2</v>
      </c>
      <c r="F24" s="2057" t="s">
        <v>1999</v>
      </c>
      <c r="G24" s="768">
        <f>SUMIF(M30:Q30,E2,M33:Q33)</f>
        <v>0</v>
      </c>
      <c r="H24" s="2057" t="s">
        <v>2008</v>
      </c>
      <c r="I24" s="769" t="e">
        <f>SUMIF('数据-取费表'!C6:C15,E2,'数据-取费表'!F6:F15)/COUNTIF('数据-取费表'!C6:C15,E2)</f>
        <v>#DIV/0!</v>
      </c>
      <c r="J24" s="770">
        <f>IF(E2="住宅",70,IF(E2="商业",40,50))</f>
        <v>50</v>
      </c>
      <c r="K24" s="1125"/>
      <c r="L24" s="2058" t="s">
        <v>2009</v>
      </c>
      <c r="M24" s="1328">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2" t="s">
        <v>366</v>
      </c>
      <c r="B25" s="2063" t="s">
        <v>3342</v>
      </c>
      <c r="C25" s="771">
        <f>IF(B25="容积率修正",IF(G3&lt;10,D26,J26),C27)</f>
        <v>0</v>
      </c>
      <c r="D25" s="2064"/>
      <c r="E25" s="2064"/>
      <c r="F25" s="2064"/>
      <c r="G25" s="2064"/>
      <c r="H25" s="2064"/>
      <c r="I25" s="2064"/>
      <c r="J25" s="2065"/>
      <c r="K25" s="1125"/>
      <c r="L25" s="2785"/>
      <c r="M25" s="2785"/>
      <c r="N25" s="2066"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42" t="s">
        <v>3264</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3265</v>
      </c>
      <c r="J26" s="772" t="str">
        <f>IF(G3&gt;=10,D115,"——")</f>
        <v>——</v>
      </c>
      <c r="K26" s="1125"/>
      <c r="L26" s="2785"/>
      <c r="M26" s="2785"/>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0</v>
      </c>
      <c r="D28" s="2049"/>
      <c r="E28" s="2074"/>
      <c r="F28" s="2074"/>
      <c r="G28" s="2074"/>
      <c r="H28" s="2074"/>
      <c r="I28" s="2074"/>
      <c r="J28" s="2075"/>
      <c r="K28" s="1125"/>
      <c r="L28" s="2785"/>
      <c r="M28" s="2785"/>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9"/>
      <c r="L30" s="3348" t="s">
        <v>1936</v>
      </c>
      <c r="M30" s="3349" t="s">
        <v>1990</v>
      </c>
      <c r="N30" s="3349" t="s">
        <v>1991</v>
      </c>
      <c r="O30" s="3349" t="s">
        <v>1992</v>
      </c>
      <c r="P30" s="3349" t="s">
        <v>1993</v>
      </c>
      <c r="Q30" s="3352" t="s">
        <v>3269</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t="e">
        <f>E34+SUM(I37:I42)</f>
        <v>#DIV/0!</v>
      </c>
      <c r="D31" s="2084"/>
      <c r="E31" s="2085"/>
      <c r="F31" s="2086"/>
      <c r="G31" s="2085"/>
      <c r="H31" s="2085"/>
      <c r="I31" s="2085"/>
      <c r="J31" s="2087"/>
      <c r="K31" s="1119"/>
      <c r="L31" s="3350" t="s">
        <v>1996</v>
      </c>
      <c r="M31" s="1997">
        <v>0.25</v>
      </c>
      <c r="N31" s="1997">
        <v>0.2</v>
      </c>
      <c r="O31" s="1997">
        <v>0.15</v>
      </c>
      <c r="P31" s="1997">
        <v>0.1</v>
      </c>
      <c r="Q31" s="3345">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t="e">
        <f>ROUND(C5*C22*C23*C24*C25*C28,0)</f>
        <v>#DIV/0!</v>
      </c>
      <c r="D33" s="2095"/>
      <c r="E33" s="773" t="e">
        <f>ROUND(C33*D33/10000,0)</f>
        <v>#DIV/0!</v>
      </c>
      <c r="F33" s="3343" t="s">
        <v>3267</v>
      </c>
      <c r="G33" s="2096"/>
      <c r="H33" s="2096"/>
      <c r="I33" s="2096"/>
      <c r="J33" s="2097"/>
      <c r="K33" s="1119"/>
      <c r="L33" s="3346" t="s">
        <v>3270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6" t="s">
        <v>3271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4" t="s">
        <v>3268</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3272</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90"/>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3273</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91"/>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91"/>
      <c r="B39" s="2038" t="s">
        <v>3266</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3274</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t="e">
        <f>ROUND(POWER(1+E44,H44-G44)*(POWER(1+E44,G44)-1)/(POWER(1+E44,H44)-1),4)</f>
        <v>#DIV/0!</v>
      </c>
      <c r="D44" s="171" t="s">
        <v>1999</v>
      </c>
      <c r="E44" s="2150">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3" t="s">
        <v>2043</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3"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7" t="s">
        <v>2053</v>
      </c>
      <c r="B51" s="2131" t="str">
        <f>估价对象房地状况!C18</f>
        <v>估价对象周边道路状况、公共交通通达情况、停车便捷程度，综合评价交通便捷度较好</v>
      </c>
      <c r="C51" s="2041"/>
      <c r="D51" s="1065">
        <f t="shared" si="7"/>
        <v>0</v>
      </c>
      <c r="E51" s="745"/>
      <c r="F51" s="1813"/>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3276</v>
      </c>
      <c r="B52" s="2131">
        <f>估价对象房地状况!C19</f>
        <v>0</v>
      </c>
      <c r="C52" s="2041"/>
      <c r="D52" s="1065">
        <f t="shared" si="7"/>
        <v>0</v>
      </c>
      <c r="E52" s="745"/>
      <c r="F52" s="1813"/>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2054</v>
      </c>
      <c r="B53" s="2132" t="s">
        <v>2055</v>
      </c>
      <c r="C53" s="2041"/>
      <c r="D53" s="1065">
        <f t="shared" si="7"/>
        <v>0</v>
      </c>
      <c r="E53" s="745"/>
      <c r="F53" s="1813"/>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f>估价对象房地状况!C24</f>
        <v>0</v>
      </c>
      <c r="C54" s="2041"/>
      <c r="D54" s="1065">
        <f t="shared" si="7"/>
        <v>0</v>
      </c>
      <c r="E54" s="745"/>
      <c r="F54" s="1813"/>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2057</v>
      </c>
      <c r="B55" s="2133" t="s">
        <v>2058</v>
      </c>
      <c r="C55" s="2041"/>
      <c r="D55" s="1065">
        <f t="shared" si="7"/>
        <v>0</v>
      </c>
      <c r="E55" s="745"/>
      <c r="F55" s="1813"/>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4" t="s">
        <v>2059</v>
      </c>
      <c r="B56" s="1325" t="str">
        <f>估价对象房地状况!C21</f>
        <v>估价对象所在区域公共配套设施齐备情况</v>
      </c>
      <c r="C56" s="2041"/>
      <c r="D56" s="1065">
        <f t="shared" si="7"/>
        <v>0</v>
      </c>
      <c r="E56" s="745"/>
      <c r="F56" s="1813"/>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4" t="s">
        <v>2060</v>
      </c>
      <c r="B57" s="2131" t="str">
        <f>估价对象房地状况!C22</f>
        <v>估价对象所在区域基础设施水平</v>
      </c>
      <c r="C57" s="2041"/>
      <c r="D57" s="1065">
        <f t="shared" si="7"/>
        <v>0</v>
      </c>
      <c r="E57" s="745"/>
      <c r="F57" s="1813"/>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5" t="s">
        <v>2061</v>
      </c>
      <c r="B58" s="2136" t="str">
        <f>估价对象房地状况!C20</f>
        <v>区域自然环境：；人文环境；综合评价环境状况一般</v>
      </c>
      <c r="C58" s="2041"/>
      <c r="D58" s="1065">
        <f t="shared" si="7"/>
        <v>0</v>
      </c>
      <c r="E58" s="746"/>
      <c r="F58" s="1813"/>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3"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7" t="s">
        <v>2053</v>
      </c>
      <c r="B62" s="2131" t="str">
        <f>估价对象房地状况!C18</f>
        <v>估价对象周边道路状况、公共交通通达情况、停车便捷程度，综合评价交通便捷度较好</v>
      </c>
      <c r="C62" s="2041"/>
      <c r="D62" s="1065">
        <f t="shared" si="12"/>
        <v>0</v>
      </c>
      <c r="E62" s="745"/>
      <c r="F62" s="1813"/>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3276</v>
      </c>
      <c r="B63" s="2131">
        <f>估价对象房地状况!C19</f>
        <v>0</v>
      </c>
      <c r="C63" s="2041"/>
      <c r="D63" s="1065">
        <f t="shared" si="12"/>
        <v>0</v>
      </c>
      <c r="E63" s="745"/>
      <c r="F63" s="1813"/>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7" t="s">
        <v>2054</v>
      </c>
      <c r="B64" s="2132" t="s">
        <v>2055</v>
      </c>
      <c r="C64" s="2041"/>
      <c r="D64" s="1065">
        <f t="shared" si="12"/>
        <v>0</v>
      </c>
      <c r="E64" s="745"/>
      <c r="F64" s="1813"/>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c r="D65" s="1065">
        <f t="shared" si="12"/>
        <v>0</v>
      </c>
      <c r="E65" s="745"/>
      <c r="F65" s="1813"/>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7" t="s">
        <v>2057</v>
      </c>
      <c r="B66" s="2133" t="s">
        <v>2058</v>
      </c>
      <c r="C66" s="2041"/>
      <c r="D66" s="1065">
        <f t="shared" si="12"/>
        <v>0</v>
      </c>
      <c r="E66" s="745"/>
      <c r="F66" s="1813"/>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7" t="s">
        <v>2059</v>
      </c>
      <c r="B67" s="1325" t="str">
        <f>估价对象房地状况!C21</f>
        <v>估价对象所在区域公共配套设施齐备情况</v>
      </c>
      <c r="C67" s="2041"/>
      <c r="D67" s="1065">
        <f t="shared" si="12"/>
        <v>0</v>
      </c>
      <c r="E67" s="745"/>
      <c r="F67" s="1813"/>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7" t="s">
        <v>2060</v>
      </c>
      <c r="B68" s="1325" t="str">
        <f>估价对象房地状况!C22</f>
        <v>估价对象所在区域基础设施水平</v>
      </c>
      <c r="C68" s="2041"/>
      <c r="D68" s="1065">
        <f t="shared" si="12"/>
        <v>0</v>
      </c>
      <c r="E68" s="745"/>
      <c r="F68" s="1813"/>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5" t="s">
        <v>2061</v>
      </c>
      <c r="B69" s="2137" t="str">
        <f>估价对象房地状况!C20</f>
        <v>区域自然环境：；人文环境；综合评价环境状况一般</v>
      </c>
      <c r="C69" s="2041"/>
      <c r="D69" s="1065">
        <f t="shared" si="12"/>
        <v>0</v>
      </c>
      <c r="E69" s="746"/>
      <c r="F69" s="1813"/>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7" t="s">
        <v>2066</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3"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7" t="s">
        <v>2053</v>
      </c>
      <c r="B73" s="2131" t="str">
        <f>估价对象房地状况!C18</f>
        <v>估价对象周边道路状况、公共交通通达情况、停车便捷程度，综合评价交通便捷度较好</v>
      </c>
      <c r="C73" s="2041"/>
      <c r="D73" s="1065">
        <f t="shared" si="17"/>
        <v>0</v>
      </c>
      <c r="E73" s="747"/>
      <c r="F73" s="1813"/>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6" t="s">
        <v>3276</v>
      </c>
      <c r="B74" s="2131">
        <f>估价对象房地状况!C19</f>
        <v>0</v>
      </c>
      <c r="C74" s="2041"/>
      <c r="D74" s="1065">
        <f t="shared" si="17"/>
        <v>0</v>
      </c>
      <c r="E74" s="747"/>
      <c r="F74" s="1813"/>
      <c r="G74" s="1063"/>
      <c r="H74" s="1066" t="str">
        <f t="shared" si="18"/>
        <v>——</v>
      </c>
      <c r="I74" s="3364">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c r="D75" s="1065">
        <f t="shared" si="17"/>
        <v>0</v>
      </c>
      <c r="E75" s="747"/>
      <c r="F75" s="1813"/>
      <c r="G75" s="1063"/>
      <c r="H75" s="1066" t="str">
        <f t="shared" si="18"/>
        <v>——</v>
      </c>
      <c r="I75" s="3364">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5.5">
      <c r="A76" s="2127" t="s">
        <v>2059</v>
      </c>
      <c r="B76" s="1325" t="str">
        <f>估价对象房地状况!C21</f>
        <v>估价对象所在区域公共配套设施齐备情况</v>
      </c>
      <c r="C76" s="2041"/>
      <c r="D76" s="1065">
        <f t="shared" si="17"/>
        <v>0</v>
      </c>
      <c r="E76" s="747"/>
      <c r="F76" s="1813"/>
      <c r="G76" s="1063"/>
      <c r="H76" s="1066" t="str">
        <f t="shared" si="18"/>
        <v>——</v>
      </c>
      <c r="I76" s="3364">
        <v>0.08</v>
      </c>
      <c r="J76" s="1064">
        <f t="shared" si="19"/>
        <v>0</v>
      </c>
      <c r="K76" s="1064">
        <f t="shared" si="20"/>
        <v>0</v>
      </c>
      <c r="L76" s="1064">
        <v>0</v>
      </c>
      <c r="M76" s="1064">
        <f t="shared" si="21"/>
        <v>0</v>
      </c>
      <c r="N76" s="1064">
        <f t="shared" si="21"/>
        <v>0</v>
      </c>
      <c r="O76" s="1119"/>
      <c r="P76" s="1119"/>
      <c r="Z76" s="1995"/>
      <c r="AA76" s="2050"/>
      <c r="AG76" s="1121"/>
      <c r="AK76" s="2050"/>
    </row>
    <row r="77" spans="1:37" ht="25.5">
      <c r="A77" s="2127" t="s">
        <v>2060</v>
      </c>
      <c r="B77" s="1325" t="str">
        <f>估价对象房地状况!C22</f>
        <v>估价对象所在区域基础设施水平</v>
      </c>
      <c r="C77" s="2041"/>
      <c r="D77" s="1065">
        <f t="shared" si="17"/>
        <v>0</v>
      </c>
      <c r="E77" s="747"/>
      <c r="F77" s="1813"/>
      <c r="G77" s="1063"/>
      <c r="H77" s="1066" t="str">
        <f t="shared" si="18"/>
        <v>——</v>
      </c>
      <c r="I77" s="3364">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3"/>
      <c r="G78" s="1063"/>
      <c r="H78" s="1066" t="str">
        <f t="shared" si="18"/>
        <v>——</v>
      </c>
      <c r="I78" s="3364">
        <v>0.05</v>
      </c>
      <c r="J78" s="1064">
        <f t="shared" si="19"/>
        <v>0</v>
      </c>
      <c r="K78" s="1064">
        <f t="shared" si="20"/>
        <v>0</v>
      </c>
      <c r="L78" s="1064">
        <v>0</v>
      </c>
      <c r="M78" s="1064">
        <f t="shared" si="21"/>
        <v>0</v>
      </c>
      <c r="N78" s="1064">
        <f t="shared" si="21"/>
        <v>0</v>
      </c>
      <c r="O78" s="1994"/>
      <c r="P78" s="1994"/>
      <c r="Z78" s="1995"/>
      <c r="AA78" s="2050"/>
      <c r="AG78" s="1121"/>
      <c r="AK78" s="2050"/>
    </row>
    <row r="79" spans="1:37" ht="25.5">
      <c r="A79" s="2127" t="s">
        <v>2061</v>
      </c>
      <c r="B79" s="2130" t="str">
        <f>估价对象房地状况!C20</f>
        <v>区域自然环境：；人文环境；综合评价环境状况一般</v>
      </c>
      <c r="C79" s="2041"/>
      <c r="D79" s="1065">
        <f t="shared" si="17"/>
        <v>0</v>
      </c>
      <c r="E79" s="747"/>
      <c r="F79" s="1813"/>
      <c r="G79" s="1063"/>
      <c r="H79" s="1066" t="str">
        <f t="shared" si="18"/>
        <v>——</v>
      </c>
      <c r="I79" s="3364">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3"/>
      <c r="G80" s="1063"/>
      <c r="H80" s="1066" t="str">
        <f t="shared" si="18"/>
        <v>——</v>
      </c>
      <c r="I80" s="3365">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3"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3"/>
      <c r="G84" s="1063"/>
      <c r="H84" s="1066" t="str">
        <f t="shared" si="23"/>
        <v>——</v>
      </c>
      <c r="I84" s="3364">
        <v>0.3</v>
      </c>
      <c r="J84" s="1064">
        <f t="shared" si="24"/>
        <v>0</v>
      </c>
      <c r="K84" s="1064">
        <f t="shared" si="25"/>
        <v>0</v>
      </c>
      <c r="L84" s="1064">
        <v>0</v>
      </c>
      <c r="M84" s="1064">
        <f t="shared" si="26"/>
        <v>0</v>
      </c>
      <c r="N84" s="1064">
        <f t="shared" si="26"/>
        <v>0</v>
      </c>
      <c r="Z84" s="1995"/>
      <c r="AA84" s="2050"/>
      <c r="AG84" s="1121"/>
      <c r="AK84" s="2050"/>
    </row>
    <row r="85" spans="1:37" ht="36">
      <c r="A85" s="3366" t="s">
        <v>3277</v>
      </c>
      <c r="B85" s="2131">
        <f>估价对象房地状况!G17</f>
        <v>0</v>
      </c>
      <c r="C85" s="2041"/>
      <c r="D85" s="1065">
        <f t="shared" si="22"/>
        <v>0</v>
      </c>
      <c r="E85" s="747"/>
      <c r="F85" s="1813"/>
      <c r="G85" s="1063"/>
      <c r="H85" s="1066" t="str">
        <f t="shared" si="23"/>
        <v>——</v>
      </c>
      <c r="I85" s="3364">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3"/>
      <c r="G86" s="1063"/>
      <c r="H86" s="1066" t="str">
        <f t="shared" si="23"/>
        <v>——</v>
      </c>
      <c r="I86" s="3364">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5" t="str">
        <f>估价对象房地状况!G19</f>
        <v>估价对象所在区域公共配套设施齐备情况</v>
      </c>
      <c r="C87" s="2041"/>
      <c r="D87" s="1065">
        <f t="shared" si="22"/>
        <v>0</v>
      </c>
      <c r="E87" s="747"/>
      <c r="F87" s="1813"/>
      <c r="G87" s="1063"/>
      <c r="H87" s="1066" t="str">
        <f t="shared" si="23"/>
        <v>——</v>
      </c>
      <c r="I87" s="3364">
        <v>0.06</v>
      </c>
      <c r="J87" s="1064">
        <f t="shared" si="24"/>
        <v>0</v>
      </c>
      <c r="K87" s="1064">
        <f t="shared" si="25"/>
        <v>0</v>
      </c>
      <c r="L87" s="1064">
        <v>0</v>
      </c>
      <c r="M87" s="1064">
        <f t="shared" si="26"/>
        <v>0</v>
      </c>
      <c r="N87" s="1064">
        <f t="shared" si="26"/>
        <v>0</v>
      </c>
    </row>
    <row r="88" spans="1:37" ht="25.5">
      <c r="A88" s="2127" t="s">
        <v>2060</v>
      </c>
      <c r="B88" s="1325" t="str">
        <f>估价对象房地状况!G20</f>
        <v>估价对象所在区域基础设施水平</v>
      </c>
      <c r="C88" s="2041"/>
      <c r="D88" s="1065">
        <f t="shared" si="22"/>
        <v>0</v>
      </c>
      <c r="E88" s="747"/>
      <c r="F88" s="1813"/>
      <c r="G88" s="1063"/>
      <c r="H88" s="1066" t="str">
        <f t="shared" si="23"/>
        <v>——</v>
      </c>
      <c r="I88" s="3364">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3"/>
      <c r="G89" s="1063"/>
      <c r="H89" s="1066" t="str">
        <f t="shared" si="23"/>
        <v>——</v>
      </c>
      <c r="I89" s="3364">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3"/>
      <c r="G90" s="1063"/>
      <c r="H90" s="1066" t="str">
        <f t="shared" si="23"/>
        <v>——</v>
      </c>
      <c r="I90" s="3365">
        <v>0.05</v>
      </c>
      <c r="J90" s="1064">
        <f t="shared" si="24"/>
        <v>0</v>
      </c>
      <c r="K90" s="1064">
        <f t="shared" si="25"/>
        <v>0</v>
      </c>
      <c r="L90" s="1064">
        <v>0</v>
      </c>
      <c r="M90" s="1064">
        <f t="shared" si="26"/>
        <v>0</v>
      </c>
      <c r="N90" s="1064">
        <f t="shared" si="26"/>
        <v>0</v>
      </c>
    </row>
    <row r="91" spans="1:37" ht="15">
      <c r="A91" s="3374" t="s">
        <v>2615</v>
      </c>
      <c r="B91" s="3375">
        <f>1+E93</f>
        <v>1</v>
      </c>
      <c r="C91" s="3368"/>
      <c r="D91" s="3369"/>
      <c r="E91" s="1813"/>
      <c r="F91" s="1813"/>
      <c r="G91" s="3370"/>
      <c r="H91" s="3371"/>
      <c r="I91" s="3372"/>
      <c r="J91" s="3373"/>
      <c r="K91" s="3373"/>
      <c r="L91" s="3373"/>
      <c r="M91" s="3373"/>
      <c r="N91" s="3373"/>
    </row>
    <row r="92" spans="1:37" ht="24.75">
      <c r="A92" s="3376" t="s">
        <v>3278</v>
      </c>
      <c r="B92" s="3363"/>
      <c r="C92" s="3363" t="s">
        <v>3287</v>
      </c>
      <c r="D92" s="3363" t="s">
        <v>3288</v>
      </c>
      <c r="E92" s="3345" t="s">
        <v>3289</v>
      </c>
      <c r="F92" s="3378" t="s">
        <v>3290</v>
      </c>
      <c r="G92" s="3363" t="s">
        <v>3291</v>
      </c>
      <c r="H92" s="3385" t="s">
        <v>3294</v>
      </c>
      <c r="I92" s="3363" t="s">
        <v>3295</v>
      </c>
      <c r="J92" s="3386" t="s">
        <v>3296</v>
      </c>
      <c r="K92" s="3386" t="s">
        <v>3297</v>
      </c>
      <c r="L92" s="3386" t="s">
        <v>3298</v>
      </c>
      <c r="M92" s="3386" t="s">
        <v>3299</v>
      </c>
      <c r="N92" s="3386" t="s">
        <v>3300</v>
      </c>
    </row>
    <row r="93" spans="1:37" ht="24">
      <c r="A93" s="3366" t="s">
        <v>3279</v>
      </c>
      <c r="B93" s="1305"/>
      <c r="C93" s="2041"/>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3280</v>
      </c>
      <c r="B94" s="3367" t="str">
        <f>估价对象房地状况!C18</f>
        <v>估价对象周边道路状况、公共交通通达情况、停车便捷程度，综合评价交通便捷度较好</v>
      </c>
      <c r="C94" s="2041"/>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3276</v>
      </c>
      <c r="B95" s="3367">
        <f>估价对象房地状况!C19</f>
        <v>0</v>
      </c>
      <c r="C95" s="2041"/>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3281</v>
      </c>
      <c r="B96" s="3382" t="s">
        <v>3292</v>
      </c>
      <c r="C96" s="2041"/>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3282</v>
      </c>
      <c r="B97" s="3367">
        <f>估价对象房地状况!C24</f>
        <v>0</v>
      </c>
      <c r="C97" s="2041"/>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3283</v>
      </c>
      <c r="B98" s="3383" t="s">
        <v>3293</v>
      </c>
      <c r="C98" s="2041"/>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5.5">
      <c r="A99" s="3376" t="s">
        <v>3284</v>
      </c>
      <c r="B99" s="3367" t="str">
        <f>估价对象房地状况!C21</f>
        <v>估价对象所在区域公共配套设施齐备情况</v>
      </c>
      <c r="C99" s="2041"/>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5.5">
      <c r="A100" s="3376" t="s">
        <v>3285</v>
      </c>
      <c r="B100" s="3367" t="str">
        <f>估价对象房地状况!C22</f>
        <v>估价对象所在区域基础设施水平</v>
      </c>
      <c r="C100" s="2041"/>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3286</v>
      </c>
      <c r="B101" s="3384" t="str">
        <f>估价对象房地状况!C20</f>
        <v>区域自然环境：；人文环境；综合评价环境状况一般</v>
      </c>
      <c r="C101" s="2041"/>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88" t="s">
        <v>3301</v>
      </c>
      <c r="B103" s="3788"/>
      <c r="C103" s="3788"/>
      <c r="D103" s="3788"/>
      <c r="E103" s="3788"/>
      <c r="F103" s="3788"/>
      <c r="G103" s="3788"/>
      <c r="H103" s="3788"/>
      <c r="I103" s="3788"/>
      <c r="J103" s="3788"/>
      <c r="K103" s="3387"/>
      <c r="L103" s="3387"/>
      <c r="M103" s="3387"/>
      <c r="N103" s="3387"/>
    </row>
    <row r="104" spans="1:14">
      <c r="A104" s="3789" t="s">
        <v>3302</v>
      </c>
      <c r="B104" s="3789" t="s">
        <v>3303</v>
      </c>
      <c r="C104" s="3388" t="s">
        <v>3304</v>
      </c>
      <c r="D104" s="3389"/>
      <c r="E104" s="3389"/>
      <c r="F104" s="3389"/>
      <c r="G104" s="3389"/>
      <c r="H104" s="3389"/>
      <c r="I104" s="3389"/>
      <c r="J104" s="3390"/>
      <c r="K104" s="3391"/>
      <c r="L104" s="3391"/>
      <c r="M104" s="3391"/>
      <c r="N104" s="3391"/>
    </row>
    <row r="105" spans="1:14">
      <c r="A105" s="3789"/>
      <c r="B105" s="3789"/>
      <c r="C105" s="3392" t="s">
        <v>3305</v>
      </c>
      <c r="D105" s="3392" t="s">
        <v>3306</v>
      </c>
      <c r="E105" s="3392" t="s">
        <v>3307</v>
      </c>
      <c r="F105" s="3392" t="s">
        <v>3308</v>
      </c>
      <c r="G105" s="3392" t="s">
        <v>3309</v>
      </c>
      <c r="H105" s="3392" t="s">
        <v>3310</v>
      </c>
      <c r="I105" s="3392" t="s">
        <v>3311</v>
      </c>
      <c r="J105" s="3392" t="s">
        <v>3312</v>
      </c>
      <c r="K105" s="3392" t="s">
        <v>3313</v>
      </c>
      <c r="L105" s="3392" t="s">
        <v>3314</v>
      </c>
      <c r="M105" s="3392" t="s">
        <v>3315</v>
      </c>
      <c r="N105" s="3392" t="s">
        <v>3316</v>
      </c>
    </row>
    <row r="106" spans="1:14">
      <c r="A106" s="3775" t="s">
        <v>3317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7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7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7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7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76"/>
      <c r="B111" s="3392" t="s">
        <v>3275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7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78" t="s">
        <v>3318</v>
      </c>
      <c r="B113" s="3778"/>
      <c r="C113" s="3778"/>
      <c r="D113" s="3778"/>
      <c r="E113" s="3778"/>
      <c r="F113" s="3778"/>
      <c r="G113" s="3778"/>
      <c r="H113" s="3778"/>
      <c r="I113" s="3778"/>
      <c r="J113" s="377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3319</v>
      </c>
      <c r="B116" s="3413">
        <f>G3</f>
        <v>0</v>
      </c>
      <c r="C116" s="3397" t="s">
        <v>3320</v>
      </c>
      <c r="D116" s="3398">
        <f>SUMPRODUCT((A118:A122=F116)*(B117:M117=H116)*B118:M122)</f>
        <v>0</v>
      </c>
      <c r="E116" s="1997" t="s">
        <v>3321</v>
      </c>
      <c r="F116" s="3399">
        <f>E2</f>
        <v>0</v>
      </c>
      <c r="G116" s="1997" t="s">
        <v>3322</v>
      </c>
      <c r="H116" s="3399">
        <f>G2</f>
        <v>0</v>
      </c>
      <c r="I116" s="1997"/>
      <c r="J116" s="3400"/>
      <c r="K116" s="3400"/>
      <c r="L116" s="3400"/>
      <c r="M116" s="3400"/>
      <c r="N116" s="3395"/>
    </row>
    <row r="117" spans="1:14">
      <c r="A117" s="3401"/>
      <c r="B117" s="3402" t="s">
        <v>3323</v>
      </c>
      <c r="C117" s="3402" t="s">
        <v>3324</v>
      </c>
      <c r="D117" s="3402" t="s">
        <v>3325</v>
      </c>
      <c r="E117" s="3403" t="s">
        <v>3326</v>
      </c>
      <c r="F117" s="3403" t="s">
        <v>3327</v>
      </c>
      <c r="G117" s="3403" t="s">
        <v>3328</v>
      </c>
      <c r="H117" s="3404" t="s">
        <v>3329</v>
      </c>
      <c r="I117" s="3404" t="s">
        <v>3330</v>
      </c>
      <c r="J117" s="3405" t="s">
        <v>3331</v>
      </c>
      <c r="K117" s="3405" t="s">
        <v>3332</v>
      </c>
      <c r="L117" s="3405" t="s">
        <v>3333</v>
      </c>
      <c r="M117" s="3406" t="s">
        <v>3334</v>
      </c>
      <c r="N117" s="3395"/>
    </row>
    <row r="118" spans="1:14">
      <c r="A118" s="3407" t="s">
        <v>3335</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3336</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3337</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3338</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125" defaultRowHeight="19.5" customHeight="1"/>
  <cols>
    <col min="1" max="13" width="15.125" style="3071" customWidth="1"/>
    <col min="14" max="14" width="10" style="3071" customWidth="1"/>
    <col min="15" max="16" width="8.125" style="3071"/>
    <col min="17" max="17" width="34.125" style="3071" customWidth="1"/>
    <col min="18" max="18" width="8.125" style="3071" customWidth="1"/>
    <col min="19" max="19" width="8.125" style="3071"/>
    <col min="20" max="20" width="11.625" style="3071" customWidth="1"/>
    <col min="21" max="16384" width="8.1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803" t="s">
        <v>2610</v>
      </c>
      <c r="B20" s="3798" t="s">
        <v>2631</v>
      </c>
      <c r="C20" s="3100" t="s">
        <v>2442</v>
      </c>
      <c r="D20" s="3101"/>
      <c r="E20" s="3102">
        <v>1</v>
      </c>
      <c r="F20" s="3103" t="s">
        <v>2443</v>
      </c>
      <c r="G20" s="3103"/>
    </row>
    <row r="21" spans="1:13" ht="19.5" customHeight="1">
      <c r="A21" s="3804"/>
      <c r="B21" s="3797"/>
      <c r="C21" s="3104" t="s">
        <v>2444</v>
      </c>
      <c r="D21" s="3105"/>
      <c r="E21" s="3106">
        <v>1</v>
      </c>
      <c r="F21" s="3103" t="s">
        <v>2445</v>
      </c>
      <c r="G21" s="3103"/>
    </row>
    <row r="22" spans="1:13" ht="19.5" customHeight="1">
      <c r="A22" s="3804"/>
      <c r="B22" s="3797"/>
      <c r="C22" s="3104" t="s">
        <v>2446</v>
      </c>
      <c r="D22" s="3105"/>
      <c r="E22" s="3106">
        <v>0.9</v>
      </c>
      <c r="F22" s="3103" t="s">
        <v>2447</v>
      </c>
      <c r="G22" s="3103"/>
    </row>
    <row r="23" spans="1:13" ht="19.5" customHeight="1">
      <c r="A23" s="3804"/>
      <c r="B23" s="3797"/>
      <c r="C23" s="3104" t="s">
        <v>2448</v>
      </c>
      <c r="D23" s="3105"/>
      <c r="E23" s="3106">
        <v>0.9</v>
      </c>
      <c r="F23" s="3103" t="s">
        <v>2449</v>
      </c>
      <c r="G23" s="3103"/>
    </row>
    <row r="24" spans="1:13" ht="19.5" customHeight="1">
      <c r="A24" s="3804"/>
      <c r="B24" s="3797"/>
      <c r="C24" s="3104" t="s">
        <v>2450</v>
      </c>
      <c r="D24" s="3105"/>
      <c r="E24" s="3106">
        <v>0.8</v>
      </c>
      <c r="F24" s="3103" t="s">
        <v>2451</v>
      </c>
      <c r="G24" s="3103"/>
    </row>
    <row r="25" spans="1:13" ht="19.5" customHeight="1" thickBot="1">
      <c r="A25" s="3805"/>
      <c r="B25" s="3799"/>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800" t="s">
        <v>2634</v>
      </c>
      <c r="B27" s="3798" t="s">
        <v>2615</v>
      </c>
      <c r="C27" s="3100" t="s">
        <v>2455</v>
      </c>
      <c r="D27" s="3101"/>
      <c r="E27" s="3102">
        <v>1</v>
      </c>
      <c r="F27" s="3103" t="s">
        <v>2456</v>
      </c>
      <c r="G27" s="3103"/>
    </row>
    <row r="28" spans="1:13" ht="19.5" customHeight="1">
      <c r="A28" s="3801"/>
      <c r="B28" s="3797"/>
      <c r="C28" s="3104" t="s">
        <v>2457</v>
      </c>
      <c r="D28" s="3105"/>
      <c r="E28" s="3106">
        <v>1</v>
      </c>
      <c r="F28" s="3103" t="s">
        <v>2458</v>
      </c>
      <c r="G28" s="3103"/>
    </row>
    <row r="29" spans="1:13" ht="19.5" customHeight="1">
      <c r="A29" s="3801"/>
      <c r="B29" s="3797"/>
      <c r="C29" s="3104" t="s">
        <v>2459</v>
      </c>
      <c r="D29" s="3105"/>
      <c r="E29" s="3106">
        <v>0.8</v>
      </c>
      <c r="F29" s="3103" t="s">
        <v>2460</v>
      </c>
      <c r="G29" s="3103"/>
    </row>
    <row r="30" spans="1:13" ht="19.5" customHeight="1">
      <c r="A30" s="3801"/>
      <c r="B30" s="3797"/>
      <c r="C30" s="3104" t="s">
        <v>2461</v>
      </c>
      <c r="D30" s="3105"/>
      <c r="E30" s="3106">
        <v>0.8</v>
      </c>
      <c r="F30" s="3103" t="s">
        <v>2462</v>
      </c>
      <c r="G30" s="3103"/>
    </row>
    <row r="31" spans="1:13" ht="19.5" customHeight="1">
      <c r="A31" s="3801"/>
      <c r="B31" s="3797"/>
      <c r="C31" s="3104" t="s">
        <v>2463</v>
      </c>
      <c r="D31" s="3105"/>
      <c r="E31" s="3106">
        <v>0.8</v>
      </c>
      <c r="F31" s="3103" t="s">
        <v>2464</v>
      </c>
      <c r="G31" s="3103"/>
    </row>
    <row r="32" spans="1:13" ht="19.5" customHeight="1">
      <c r="A32" s="3801"/>
      <c r="B32" s="3797"/>
      <c r="C32" s="3104" t="s">
        <v>2465</v>
      </c>
      <c r="D32" s="3105"/>
      <c r="E32" s="3106">
        <v>0.7</v>
      </c>
      <c r="F32" s="3103" t="s">
        <v>2466</v>
      </c>
      <c r="G32" s="3103"/>
    </row>
    <row r="33" spans="1:7" ht="19.5" customHeight="1">
      <c r="A33" s="3801"/>
      <c r="B33" s="3797"/>
      <c r="C33" s="3104" t="s">
        <v>2467</v>
      </c>
      <c r="D33" s="3105"/>
      <c r="E33" s="3106">
        <v>0.8</v>
      </c>
      <c r="F33" s="3103" t="s">
        <v>2468</v>
      </c>
      <c r="G33" s="3103"/>
    </row>
    <row r="34" spans="1:7" ht="19.5" customHeight="1">
      <c r="A34" s="3801"/>
      <c r="B34" s="3797"/>
      <c r="C34" s="3104" t="s">
        <v>2469</v>
      </c>
      <c r="D34" s="3105"/>
      <c r="E34" s="3106">
        <v>0.6</v>
      </c>
      <c r="F34" s="3103" t="s">
        <v>2470</v>
      </c>
      <c r="G34" s="3103"/>
    </row>
    <row r="35" spans="1:7" ht="19.5" customHeight="1">
      <c r="A35" s="3801"/>
      <c r="B35" s="3797"/>
      <c r="C35" s="3104" t="s">
        <v>2471</v>
      </c>
      <c r="D35" s="3105"/>
      <c r="E35" s="3106">
        <v>0.2</v>
      </c>
      <c r="F35" s="3103" t="s">
        <v>2472</v>
      </c>
      <c r="G35" s="3103"/>
    </row>
    <row r="36" spans="1:7" ht="19.5" customHeight="1">
      <c r="A36" s="3801"/>
      <c r="B36" s="3797"/>
      <c r="C36" s="3104" t="s">
        <v>2473</v>
      </c>
      <c r="D36" s="3105"/>
      <c r="E36" s="3106">
        <v>0.2</v>
      </c>
      <c r="F36" s="3103" t="s">
        <v>2474</v>
      </c>
      <c r="G36" s="3103"/>
    </row>
    <row r="37" spans="1:7" ht="19.5" customHeight="1">
      <c r="A37" s="3801"/>
      <c r="B37" s="3795" t="s">
        <v>2635</v>
      </c>
      <c r="C37" s="3104" t="s">
        <v>2475</v>
      </c>
      <c r="D37" s="3105"/>
      <c r="E37" s="3106">
        <v>0.6</v>
      </c>
      <c r="F37" s="3103" t="s">
        <v>2476</v>
      </c>
      <c r="G37" s="3103"/>
    </row>
    <row r="38" spans="1:7" ht="19.5" customHeight="1">
      <c r="A38" s="3801"/>
      <c r="B38" s="3797"/>
      <c r="C38" s="3104" t="s">
        <v>2477</v>
      </c>
      <c r="D38" s="3105"/>
      <c r="E38" s="3106">
        <v>0.6</v>
      </c>
      <c r="F38" s="3103" t="s">
        <v>2478</v>
      </c>
      <c r="G38" s="3103"/>
    </row>
    <row r="39" spans="1:7" ht="19.5" customHeight="1" thickBot="1">
      <c r="A39" s="3802"/>
      <c r="B39" s="3799"/>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803" t="s">
        <v>2613</v>
      </c>
      <c r="B41" s="3798" t="s">
        <v>2637</v>
      </c>
      <c r="C41" s="3100" t="s">
        <v>2482</v>
      </c>
      <c r="D41" s="3101"/>
      <c r="E41" s="3102">
        <v>1</v>
      </c>
      <c r="F41" s="3103" t="s">
        <v>2483</v>
      </c>
      <c r="G41" s="3103"/>
    </row>
    <row r="42" spans="1:7" ht="19.5" customHeight="1">
      <c r="A42" s="3804"/>
      <c r="B42" s="3797"/>
      <c r="C42" s="3104" t="s">
        <v>2484</v>
      </c>
      <c r="D42" s="3105"/>
      <c r="E42" s="3106">
        <v>1</v>
      </c>
      <c r="F42" s="3103" t="s">
        <v>2485</v>
      </c>
      <c r="G42" s="3103"/>
    </row>
    <row r="43" spans="1:7" ht="19.5" customHeight="1">
      <c r="A43" s="3804"/>
      <c r="B43" s="3796"/>
      <c r="C43" s="3104" t="s">
        <v>2486</v>
      </c>
      <c r="D43" s="3105"/>
      <c r="E43" s="3106">
        <v>1.5</v>
      </c>
      <c r="F43" s="3103" t="s">
        <v>2487</v>
      </c>
      <c r="G43" s="3103"/>
    </row>
    <row r="44" spans="1:7" ht="19.5" customHeight="1">
      <c r="A44" s="3804"/>
      <c r="B44" s="3115" t="s">
        <v>2638</v>
      </c>
      <c r="C44" s="3104" t="s">
        <v>2639</v>
      </c>
      <c r="D44" s="3105"/>
      <c r="E44" s="3106">
        <v>2</v>
      </c>
      <c r="F44" s="3103" t="s">
        <v>2488</v>
      </c>
      <c r="G44" s="3103"/>
    </row>
    <row r="45" spans="1:7" ht="19.5" customHeight="1">
      <c r="A45" s="3804"/>
      <c r="B45" s="3795" t="s">
        <v>2640</v>
      </c>
      <c r="C45" s="3104" t="s">
        <v>2489</v>
      </c>
      <c r="D45" s="3105"/>
      <c r="E45" s="3106">
        <v>1</v>
      </c>
      <c r="F45" s="3103" t="s">
        <v>2490</v>
      </c>
      <c r="G45" s="3103"/>
    </row>
    <row r="46" spans="1:7" ht="19.5" customHeight="1">
      <c r="A46" s="3804"/>
      <c r="B46" s="3797"/>
      <c r="C46" s="3104" t="s">
        <v>2491</v>
      </c>
      <c r="D46" s="3105"/>
      <c r="E46" s="3106">
        <v>1</v>
      </c>
      <c r="F46" s="3103" t="s">
        <v>2492</v>
      </c>
      <c r="G46" s="3103"/>
    </row>
    <row r="47" spans="1:7" ht="19.5" customHeight="1">
      <c r="A47" s="3804"/>
      <c r="B47" s="3797"/>
      <c r="C47" s="3104" t="s">
        <v>2493</v>
      </c>
      <c r="D47" s="3105"/>
      <c r="E47" s="3106">
        <v>1</v>
      </c>
      <c r="F47" s="3103" t="s">
        <v>2494</v>
      </c>
      <c r="G47" s="3103"/>
    </row>
    <row r="48" spans="1:7" ht="19.5" customHeight="1">
      <c r="A48" s="3804"/>
      <c r="B48" s="3797"/>
      <c r="C48" s="3104" t="s">
        <v>2495</v>
      </c>
      <c r="D48" s="3105"/>
      <c r="E48" s="3106">
        <v>1</v>
      </c>
      <c r="F48" s="3103" t="s">
        <v>2496</v>
      </c>
      <c r="G48" s="3103"/>
    </row>
    <row r="49" spans="1:7" ht="19.5" customHeight="1">
      <c r="A49" s="3804"/>
      <c r="B49" s="3797"/>
      <c r="C49" s="3104" t="s">
        <v>2497</v>
      </c>
      <c r="D49" s="3105"/>
      <c r="E49" s="3106">
        <v>1</v>
      </c>
      <c r="F49" s="3103" t="s">
        <v>2498</v>
      </c>
      <c r="G49" s="3103"/>
    </row>
    <row r="50" spans="1:7" ht="19.5" customHeight="1">
      <c r="A50" s="3804"/>
      <c r="B50" s="3797"/>
      <c r="C50" s="3104" t="s">
        <v>2499</v>
      </c>
      <c r="D50" s="3105"/>
      <c r="E50" s="3106">
        <v>1</v>
      </c>
      <c r="F50" s="3103" t="s">
        <v>2500</v>
      </c>
      <c r="G50" s="3103"/>
    </row>
    <row r="51" spans="1:7" ht="19.5" customHeight="1" thickBot="1">
      <c r="A51" s="3805"/>
      <c r="B51" s="3799"/>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4.25">
      <c r="A72" s="3115"/>
      <c r="B72" s="3115"/>
      <c r="C72" s="3115" t="s">
        <v>2653</v>
      </c>
      <c r="D72" s="3115"/>
      <c r="E72" s="3115" t="s">
        <v>2624</v>
      </c>
      <c r="F72" s="3115" t="s">
        <v>2624</v>
      </c>
    </row>
    <row r="73" spans="1:7" ht="14.25">
      <c r="A73" s="3115">
        <v>1</v>
      </c>
      <c r="B73" s="3795" t="s">
        <v>2654</v>
      </c>
      <c r="C73" s="3089" t="s">
        <v>2655</v>
      </c>
      <c r="D73" s="3089" t="s">
        <v>2656</v>
      </c>
      <c r="E73" s="3115">
        <v>0.2</v>
      </c>
      <c r="F73" s="3115">
        <v>25</v>
      </c>
    </row>
    <row r="74" spans="1:7" ht="25.5">
      <c r="A74" s="3115">
        <v>2</v>
      </c>
      <c r="B74" s="3797"/>
      <c r="C74" s="3089" t="s">
        <v>2657</v>
      </c>
      <c r="D74" s="3089" t="s">
        <v>2658</v>
      </c>
      <c r="E74" s="3115">
        <v>0.2</v>
      </c>
      <c r="F74" s="3115">
        <v>25</v>
      </c>
    </row>
    <row r="75" spans="1:7" ht="25.5">
      <c r="A75" s="3115">
        <v>3</v>
      </c>
      <c r="B75" s="3797"/>
      <c r="C75" s="3089" t="s">
        <v>2659</v>
      </c>
      <c r="D75" s="3089" t="s">
        <v>2660</v>
      </c>
      <c r="E75" s="3115">
        <v>0.2</v>
      </c>
      <c r="F75" s="3115">
        <v>25</v>
      </c>
    </row>
    <row r="76" spans="1:7" ht="14.25">
      <c r="A76" s="3115">
        <v>4</v>
      </c>
      <c r="B76" s="3797"/>
      <c r="C76" s="3089" t="s">
        <v>2661</v>
      </c>
      <c r="D76" s="3089" t="s">
        <v>2662</v>
      </c>
      <c r="E76" s="3115">
        <v>0.15</v>
      </c>
      <c r="F76" s="3115">
        <v>20</v>
      </c>
    </row>
    <row r="77" spans="1:7" ht="25.5">
      <c r="A77" s="3115">
        <v>5</v>
      </c>
      <c r="B77" s="3797"/>
      <c r="C77" s="3089" t="s">
        <v>2663</v>
      </c>
      <c r="D77" s="3089" t="s">
        <v>2664</v>
      </c>
      <c r="E77" s="3115">
        <v>0.15</v>
      </c>
      <c r="F77" s="3115">
        <v>20</v>
      </c>
    </row>
    <row r="78" spans="1:7" ht="25.5">
      <c r="A78" s="3115">
        <v>6</v>
      </c>
      <c r="B78" s="3797"/>
      <c r="C78" s="3089" t="s">
        <v>2665</v>
      </c>
      <c r="D78" s="3089" t="s">
        <v>2666</v>
      </c>
      <c r="E78" s="3115">
        <v>0.15</v>
      </c>
      <c r="F78" s="3115">
        <v>20</v>
      </c>
    </row>
    <row r="79" spans="1:7" ht="25.5">
      <c r="A79" s="3115">
        <v>7</v>
      </c>
      <c r="B79" s="3797"/>
      <c r="C79" s="3089" t="s">
        <v>2667</v>
      </c>
      <c r="D79" s="3089" t="s">
        <v>2668</v>
      </c>
      <c r="E79" s="3115">
        <v>0.15</v>
      </c>
      <c r="F79" s="3115">
        <v>20</v>
      </c>
    </row>
    <row r="80" spans="1:7" ht="25.5">
      <c r="A80" s="3115">
        <v>8</v>
      </c>
      <c r="B80" s="3797"/>
      <c r="C80" s="3089" t="s">
        <v>2669</v>
      </c>
      <c r="D80" s="3089" t="s">
        <v>2670</v>
      </c>
      <c r="E80" s="3115">
        <v>0.1</v>
      </c>
      <c r="F80" s="3115">
        <v>15</v>
      </c>
    </row>
    <row r="81" spans="1:6" ht="25.5">
      <c r="A81" s="3115">
        <v>9</v>
      </c>
      <c r="B81" s="3797"/>
      <c r="C81" s="3089" t="s">
        <v>2671</v>
      </c>
      <c r="D81" s="3089" t="s">
        <v>2672</v>
      </c>
      <c r="E81" s="3115">
        <v>0.1</v>
      </c>
      <c r="F81" s="3115">
        <v>15</v>
      </c>
    </row>
    <row r="82" spans="1:6" ht="25.5">
      <c r="A82" s="3115">
        <v>10</v>
      </c>
      <c r="B82" s="3797"/>
      <c r="C82" s="3089" t="s">
        <v>2673</v>
      </c>
      <c r="D82" s="3089" t="s">
        <v>2674</v>
      </c>
      <c r="E82" s="3115">
        <v>0.1</v>
      </c>
      <c r="F82" s="3115">
        <v>15</v>
      </c>
    </row>
    <row r="83" spans="1:6" ht="25.5">
      <c r="A83" s="3115">
        <v>11</v>
      </c>
      <c r="B83" s="3797"/>
      <c r="C83" s="3089" t="s">
        <v>2675</v>
      </c>
      <c r="D83" s="3089" t="s">
        <v>2676</v>
      </c>
      <c r="E83" s="3115">
        <v>0.1</v>
      </c>
      <c r="F83" s="3115">
        <v>15</v>
      </c>
    </row>
    <row r="84" spans="1:6" ht="25.5">
      <c r="A84" s="3115">
        <v>12</v>
      </c>
      <c r="B84" s="3797"/>
      <c r="C84" s="3089" t="s">
        <v>2677</v>
      </c>
      <c r="D84" s="3089" t="s">
        <v>2678</v>
      </c>
      <c r="E84" s="3115">
        <v>0.1</v>
      </c>
      <c r="F84" s="3115">
        <v>15</v>
      </c>
    </row>
    <row r="85" spans="1:6" ht="14.25">
      <c r="A85" s="3115">
        <v>13</v>
      </c>
      <c r="B85" s="3797"/>
      <c r="C85" s="3089" t="s">
        <v>2679</v>
      </c>
      <c r="D85" s="3089" t="s">
        <v>2680</v>
      </c>
      <c r="E85" s="3115">
        <v>0.1</v>
      </c>
      <c r="F85" s="3115">
        <v>15</v>
      </c>
    </row>
    <row r="86" spans="1:6" ht="14.25">
      <c r="A86" s="3115">
        <v>14</v>
      </c>
      <c r="B86" s="3797"/>
      <c r="C86" s="3089" t="s">
        <v>2681</v>
      </c>
      <c r="D86" s="3089" t="s">
        <v>2682</v>
      </c>
      <c r="E86" s="3115">
        <v>0.1</v>
      </c>
      <c r="F86" s="3115">
        <v>15</v>
      </c>
    </row>
    <row r="87" spans="1:6" ht="14.25">
      <c r="A87" s="3115">
        <v>15</v>
      </c>
      <c r="B87" s="3797"/>
      <c r="C87" s="3089" t="s">
        <v>2683</v>
      </c>
      <c r="D87" s="3089" t="s">
        <v>2684</v>
      </c>
      <c r="E87" s="3115">
        <v>0.1</v>
      </c>
      <c r="F87" s="3115">
        <v>15</v>
      </c>
    </row>
    <row r="88" spans="1:6" ht="25.5">
      <c r="A88" s="3115">
        <v>16</v>
      </c>
      <c r="B88" s="3797"/>
      <c r="C88" s="3089" t="s">
        <v>2685</v>
      </c>
      <c r="D88" s="3089" t="s">
        <v>2686</v>
      </c>
      <c r="E88" s="3115">
        <v>0.1</v>
      </c>
      <c r="F88" s="3115">
        <v>15</v>
      </c>
    </row>
    <row r="89" spans="1:6" ht="25.5">
      <c r="A89" s="3115">
        <v>17</v>
      </c>
      <c r="B89" s="3796"/>
      <c r="C89" s="3089" t="s">
        <v>2687</v>
      </c>
      <c r="D89" s="3089" t="s">
        <v>2688</v>
      </c>
      <c r="E89" s="3115">
        <v>0.1</v>
      </c>
      <c r="F89" s="3115">
        <v>15</v>
      </c>
    </row>
    <row r="90" spans="1:6" ht="14.25">
      <c r="A90" s="3115">
        <v>18</v>
      </c>
      <c r="B90" s="3795" t="s">
        <v>2689</v>
      </c>
      <c r="C90" s="3089" t="s">
        <v>2690</v>
      </c>
      <c r="D90" s="3089" t="s">
        <v>2691</v>
      </c>
      <c r="E90" s="3115">
        <v>0.2</v>
      </c>
      <c r="F90" s="3115">
        <v>25</v>
      </c>
    </row>
    <row r="91" spans="1:6" ht="25.5">
      <c r="A91" s="3115">
        <v>19</v>
      </c>
      <c r="B91" s="3797"/>
      <c r="C91" s="3089" t="s">
        <v>2692</v>
      </c>
      <c r="D91" s="3089" t="s">
        <v>2693</v>
      </c>
      <c r="E91" s="3115">
        <v>0.2</v>
      </c>
      <c r="F91" s="3115">
        <v>25</v>
      </c>
    </row>
    <row r="92" spans="1:6" ht="14.25">
      <c r="A92" s="3115">
        <v>20</v>
      </c>
      <c r="B92" s="3797"/>
      <c r="C92" s="3089" t="s">
        <v>2694</v>
      </c>
      <c r="D92" s="3089" t="s">
        <v>2695</v>
      </c>
      <c r="E92" s="3115">
        <v>0.15</v>
      </c>
      <c r="F92" s="3115">
        <v>20</v>
      </c>
    </row>
    <row r="93" spans="1:6" ht="25.5">
      <c r="A93" s="3115">
        <v>21</v>
      </c>
      <c r="B93" s="3797"/>
      <c r="C93" s="3089" t="s">
        <v>2696</v>
      </c>
      <c r="D93" s="3089" t="s">
        <v>2697</v>
      </c>
      <c r="E93" s="3115">
        <v>0.15</v>
      </c>
      <c r="F93" s="3115">
        <v>20</v>
      </c>
    </row>
    <row r="94" spans="1:6" ht="25.5">
      <c r="A94" s="3115">
        <v>22</v>
      </c>
      <c r="B94" s="3797"/>
      <c r="C94" s="3089" t="s">
        <v>2698</v>
      </c>
      <c r="D94" s="3089" t="s">
        <v>2699</v>
      </c>
      <c r="E94" s="3115">
        <v>0.15</v>
      </c>
      <c r="F94" s="3115">
        <v>20</v>
      </c>
    </row>
    <row r="95" spans="1:6" ht="38.25">
      <c r="A95" s="3115">
        <v>23</v>
      </c>
      <c r="B95" s="3797"/>
      <c r="C95" s="3089" t="s">
        <v>2700</v>
      </c>
      <c r="D95" s="3089" t="s">
        <v>2701</v>
      </c>
      <c r="E95" s="3115">
        <v>0.15</v>
      </c>
      <c r="F95" s="3115">
        <v>20</v>
      </c>
    </row>
    <row r="96" spans="1:6" ht="14.25">
      <c r="A96" s="3115">
        <v>24</v>
      </c>
      <c r="B96" s="3797"/>
      <c r="C96" s="3089" t="s">
        <v>2702</v>
      </c>
      <c r="D96" s="3089" t="s">
        <v>2703</v>
      </c>
      <c r="E96" s="3115">
        <v>0.1</v>
      </c>
      <c r="F96" s="3115">
        <v>15</v>
      </c>
    </row>
    <row r="97" spans="1:6" ht="25.5">
      <c r="A97" s="3115">
        <v>25</v>
      </c>
      <c r="B97" s="3797"/>
      <c r="C97" s="3089" t="s">
        <v>2704</v>
      </c>
      <c r="D97" s="3089" t="s">
        <v>2705</v>
      </c>
      <c r="E97" s="3115">
        <v>0.1</v>
      </c>
      <c r="F97" s="3115">
        <v>15</v>
      </c>
    </row>
    <row r="98" spans="1:6" ht="25.5">
      <c r="A98" s="3115">
        <v>26</v>
      </c>
      <c r="B98" s="3797"/>
      <c r="C98" s="3089" t="s">
        <v>2706</v>
      </c>
      <c r="D98" s="3089" t="s">
        <v>2707</v>
      </c>
      <c r="E98" s="3115">
        <v>0.1</v>
      </c>
      <c r="F98" s="3115">
        <v>15</v>
      </c>
    </row>
    <row r="99" spans="1:6" ht="25.5">
      <c r="A99" s="3115">
        <v>27</v>
      </c>
      <c r="B99" s="3797"/>
      <c r="C99" s="3089" t="s">
        <v>2708</v>
      </c>
      <c r="D99" s="3089" t="s">
        <v>2709</v>
      </c>
      <c r="E99" s="3115">
        <v>0.1</v>
      </c>
      <c r="F99" s="3115">
        <v>15</v>
      </c>
    </row>
    <row r="100" spans="1:6" ht="25.5">
      <c r="A100" s="3115">
        <v>28</v>
      </c>
      <c r="B100" s="3797"/>
      <c r="C100" s="3089" t="s">
        <v>2710</v>
      </c>
      <c r="D100" s="3089" t="s">
        <v>2711</v>
      </c>
      <c r="E100" s="3115">
        <v>0.1</v>
      </c>
      <c r="F100" s="3115">
        <v>15</v>
      </c>
    </row>
    <row r="101" spans="1:6" ht="25.5">
      <c r="A101" s="3115">
        <v>29</v>
      </c>
      <c r="B101" s="3797"/>
      <c r="C101" s="3089" t="s">
        <v>2712</v>
      </c>
      <c r="D101" s="3089" t="s">
        <v>2713</v>
      </c>
      <c r="E101" s="3115">
        <v>0.1</v>
      </c>
      <c r="F101" s="3115">
        <v>15</v>
      </c>
    </row>
    <row r="102" spans="1:6" ht="25.5">
      <c r="A102" s="3115">
        <v>30</v>
      </c>
      <c r="B102" s="3797"/>
      <c r="C102" s="3089" t="s">
        <v>2714</v>
      </c>
      <c r="D102" s="3089" t="s">
        <v>2715</v>
      </c>
      <c r="E102" s="3115">
        <v>0.1</v>
      </c>
      <c r="F102" s="3115">
        <v>15</v>
      </c>
    </row>
    <row r="103" spans="1:6" ht="25.5">
      <c r="A103" s="3115">
        <v>31</v>
      </c>
      <c r="B103" s="3797"/>
      <c r="C103" s="3089" t="s">
        <v>2716</v>
      </c>
      <c r="D103" s="3089" t="s">
        <v>2717</v>
      </c>
      <c r="E103" s="3115">
        <v>0.1</v>
      </c>
      <c r="F103" s="3115">
        <v>15</v>
      </c>
    </row>
    <row r="104" spans="1:6" ht="25.5">
      <c r="A104" s="3115">
        <v>32</v>
      </c>
      <c r="B104" s="3797"/>
      <c r="C104" s="3089" t="s">
        <v>2718</v>
      </c>
      <c r="D104" s="3089" t="s">
        <v>2719</v>
      </c>
      <c r="E104" s="3115">
        <v>0.1</v>
      </c>
      <c r="F104" s="3115">
        <v>15</v>
      </c>
    </row>
    <row r="105" spans="1:6" ht="25.5">
      <c r="A105" s="3115">
        <v>33</v>
      </c>
      <c r="B105" s="3797"/>
      <c r="C105" s="3089" t="s">
        <v>2720</v>
      </c>
      <c r="D105" s="3089" t="s">
        <v>2721</v>
      </c>
      <c r="E105" s="3115">
        <v>0.1</v>
      </c>
      <c r="F105" s="3115">
        <v>15</v>
      </c>
    </row>
    <row r="106" spans="1:6" ht="25.5">
      <c r="A106" s="3115">
        <v>34</v>
      </c>
      <c r="B106" s="3796"/>
      <c r="C106" s="3089" t="s">
        <v>2722</v>
      </c>
      <c r="D106" s="3089" t="s">
        <v>2723</v>
      </c>
      <c r="E106" s="3115">
        <v>0.1</v>
      </c>
      <c r="F106" s="3115">
        <v>15</v>
      </c>
    </row>
    <row r="107" spans="1:6" ht="25.5">
      <c r="A107" s="3115">
        <v>35</v>
      </c>
      <c r="B107" s="3795" t="s">
        <v>2724</v>
      </c>
      <c r="C107" s="3115" t="s">
        <v>2725</v>
      </c>
      <c r="D107" s="3089" t="s">
        <v>2726</v>
      </c>
      <c r="E107" s="3115">
        <v>0.15</v>
      </c>
      <c r="F107" s="3115">
        <v>20</v>
      </c>
    </row>
    <row r="108" spans="1:6" ht="25.5">
      <c r="A108" s="3115">
        <v>36</v>
      </c>
      <c r="B108" s="3797"/>
      <c r="C108" s="3115" t="s">
        <v>2727</v>
      </c>
      <c r="D108" s="3089" t="s">
        <v>2728</v>
      </c>
      <c r="E108" s="3115">
        <v>0.15</v>
      </c>
      <c r="F108" s="3115">
        <v>20</v>
      </c>
    </row>
    <row r="109" spans="1:6" ht="25.5">
      <c r="A109" s="3115">
        <v>37</v>
      </c>
      <c r="B109" s="3797"/>
      <c r="C109" s="3115" t="s">
        <v>2729</v>
      </c>
      <c r="D109" s="3089" t="s">
        <v>2730</v>
      </c>
      <c r="E109" s="3115">
        <v>0.15</v>
      </c>
      <c r="F109" s="3115">
        <v>20</v>
      </c>
    </row>
    <row r="110" spans="1:6" ht="14.25">
      <c r="A110" s="3115">
        <v>38</v>
      </c>
      <c r="B110" s="3797"/>
      <c r="C110" s="3115" t="s">
        <v>2731</v>
      </c>
      <c r="D110" s="3089" t="s">
        <v>2732</v>
      </c>
      <c r="E110" s="3115">
        <v>0.1</v>
      </c>
      <c r="F110" s="3115">
        <v>15</v>
      </c>
    </row>
    <row r="111" spans="1:6" ht="25.5">
      <c r="A111" s="3115">
        <v>39</v>
      </c>
      <c r="B111" s="3797"/>
      <c r="C111" s="3115" t="s">
        <v>2733</v>
      </c>
      <c r="D111" s="3089" t="s">
        <v>2734</v>
      </c>
      <c r="E111" s="3115">
        <v>0.1</v>
      </c>
      <c r="F111" s="3115">
        <v>15</v>
      </c>
    </row>
    <row r="112" spans="1:6" ht="25.5">
      <c r="A112" s="3115">
        <v>40</v>
      </c>
      <c r="B112" s="3796"/>
      <c r="C112" s="3115" t="s">
        <v>2735</v>
      </c>
      <c r="D112" s="3089" t="s">
        <v>2736</v>
      </c>
      <c r="E112" s="3115">
        <v>0.1</v>
      </c>
      <c r="F112" s="3115">
        <v>15</v>
      </c>
    </row>
    <row r="113" spans="1:6" ht="25.5">
      <c r="A113" s="3115">
        <v>41</v>
      </c>
      <c r="B113" s="3794" t="s">
        <v>2737</v>
      </c>
      <c r="C113" s="3115" t="s">
        <v>2738</v>
      </c>
      <c r="D113" s="3089" t="s">
        <v>2739</v>
      </c>
      <c r="E113" s="3115">
        <v>0.1</v>
      </c>
      <c r="F113" s="3115">
        <v>15</v>
      </c>
    </row>
    <row r="114" spans="1:6" ht="14.25">
      <c r="A114" s="3115">
        <v>42</v>
      </c>
      <c r="B114" s="3794"/>
      <c r="C114" s="3115" t="s">
        <v>2740</v>
      </c>
      <c r="D114" s="3089" t="s">
        <v>2741</v>
      </c>
      <c r="E114" s="3115">
        <v>0.1</v>
      </c>
      <c r="F114" s="3115">
        <v>15</v>
      </c>
    </row>
    <row r="115" spans="1:6" ht="25.5">
      <c r="A115" s="3115">
        <v>43</v>
      </c>
      <c r="B115" s="3794"/>
      <c r="C115" s="3115" t="s">
        <v>2742</v>
      </c>
      <c r="D115" s="3089" t="s">
        <v>2743</v>
      </c>
      <c r="E115" s="3115">
        <v>0.1</v>
      </c>
      <c r="F115" s="3115">
        <v>15</v>
      </c>
    </row>
    <row r="116" spans="1:6" ht="25.5">
      <c r="A116" s="3115">
        <v>44</v>
      </c>
      <c r="B116" s="3795" t="s">
        <v>2744</v>
      </c>
      <c r="C116" s="3115" t="s">
        <v>2745</v>
      </c>
      <c r="D116" s="3089" t="s">
        <v>2746</v>
      </c>
      <c r="E116" s="3115">
        <v>0.1</v>
      </c>
      <c r="F116" s="3115">
        <v>15</v>
      </c>
    </row>
    <row r="117" spans="1:6" ht="25.5">
      <c r="A117" s="3115">
        <v>45</v>
      </c>
      <c r="B117" s="3796"/>
      <c r="C117" s="3089" t="s">
        <v>2747</v>
      </c>
      <c r="D117" s="3089" t="s">
        <v>2748</v>
      </c>
      <c r="E117" s="3115">
        <v>0.1</v>
      </c>
      <c r="F117" s="3115">
        <v>15</v>
      </c>
    </row>
    <row r="118" spans="1:6" ht="25.5">
      <c r="A118" s="3115">
        <v>46</v>
      </c>
      <c r="B118" s="3795" t="s">
        <v>2749</v>
      </c>
      <c r="C118" s="3115" t="s">
        <v>2750</v>
      </c>
      <c r="D118" s="3089" t="s">
        <v>2751</v>
      </c>
      <c r="E118" s="3115">
        <v>0.1</v>
      </c>
      <c r="F118" s="3115">
        <v>15</v>
      </c>
    </row>
    <row r="119" spans="1:6" ht="25.5">
      <c r="A119" s="3115">
        <v>47</v>
      </c>
      <c r="B119" s="3796"/>
      <c r="C119" s="3115" t="s">
        <v>2752</v>
      </c>
      <c r="D119" s="3089" t="s">
        <v>2753</v>
      </c>
      <c r="E119" s="3115">
        <v>0.1</v>
      </c>
      <c r="F119" s="3115">
        <v>15</v>
      </c>
    </row>
    <row r="120" spans="1:6" ht="25.5">
      <c r="A120" s="3115">
        <v>48</v>
      </c>
      <c r="B120" s="3795" t="s">
        <v>2754</v>
      </c>
      <c r="C120" s="3115" t="s">
        <v>2755</v>
      </c>
      <c r="D120" s="3089" t="s">
        <v>2756</v>
      </c>
      <c r="E120" s="3115">
        <v>0.1</v>
      </c>
      <c r="F120" s="3115">
        <v>15</v>
      </c>
    </row>
    <row r="121" spans="1:6" ht="14.25">
      <c r="A121" s="3115">
        <v>49</v>
      </c>
      <c r="B121" s="3796"/>
      <c r="C121" s="3115" t="s">
        <v>2757</v>
      </c>
      <c r="D121" s="3089" t="s">
        <v>2758</v>
      </c>
      <c r="E121" s="3115">
        <v>0.1</v>
      </c>
      <c r="F121" s="3115">
        <v>15</v>
      </c>
    </row>
    <row r="122" spans="1:6" ht="25.5">
      <c r="A122" s="3115">
        <v>50</v>
      </c>
      <c r="B122" s="3794" t="s">
        <v>2759</v>
      </c>
      <c r="C122" s="3115" t="s">
        <v>2760</v>
      </c>
      <c r="D122" s="3089" t="s">
        <v>2761</v>
      </c>
      <c r="E122" s="3115">
        <v>0.1</v>
      </c>
      <c r="F122" s="3115">
        <v>15</v>
      </c>
    </row>
    <row r="123" spans="1:6" ht="25.5">
      <c r="A123" s="3115">
        <v>51</v>
      </c>
      <c r="B123" s="3794"/>
      <c r="C123" s="3115" t="s">
        <v>2762</v>
      </c>
      <c r="D123" s="3089" t="s">
        <v>2763</v>
      </c>
      <c r="E123" s="3115">
        <v>0.1</v>
      </c>
      <c r="F123" s="3115">
        <v>15</v>
      </c>
    </row>
    <row r="124" spans="1:6" ht="25.5">
      <c r="A124" s="3115">
        <v>52</v>
      </c>
      <c r="B124" s="3794" t="s">
        <v>2764</v>
      </c>
      <c r="C124" s="3115" t="s">
        <v>2765</v>
      </c>
      <c r="D124" s="3089" t="s">
        <v>2766</v>
      </c>
      <c r="E124" s="3115">
        <v>0.1</v>
      </c>
      <c r="F124" s="3115">
        <v>15</v>
      </c>
    </row>
    <row r="125" spans="1:6" ht="25.5">
      <c r="A125" s="3115">
        <v>53</v>
      </c>
      <c r="B125" s="3794"/>
      <c r="C125" s="3115" t="s">
        <v>2767</v>
      </c>
      <c r="D125" s="3089" t="s">
        <v>2768</v>
      </c>
      <c r="E125" s="3115">
        <v>0.1</v>
      </c>
      <c r="F125" s="3115">
        <v>15</v>
      </c>
    </row>
    <row r="126" spans="1:6" ht="25.5">
      <c r="A126" s="3115">
        <v>54</v>
      </c>
      <c r="B126" s="3115" t="s">
        <v>2769</v>
      </c>
      <c r="C126" s="3115" t="s">
        <v>2770</v>
      </c>
      <c r="D126" s="3089" t="s">
        <v>2771</v>
      </c>
      <c r="E126" s="3115">
        <v>0.1</v>
      </c>
      <c r="F126" s="3115">
        <v>15</v>
      </c>
    </row>
    <row r="127" spans="1:6" ht="14.25">
      <c r="A127" s="3115">
        <v>55</v>
      </c>
      <c r="B127" s="3794" t="s">
        <v>2772</v>
      </c>
      <c r="C127" s="3115" t="s">
        <v>2773</v>
      </c>
      <c r="D127" s="3089" t="s">
        <v>2774</v>
      </c>
      <c r="E127" s="3115">
        <v>0.1</v>
      </c>
      <c r="F127" s="3115">
        <v>15</v>
      </c>
    </row>
    <row r="128" spans="1:6" ht="14.25">
      <c r="A128" s="3115">
        <v>56</v>
      </c>
      <c r="B128" s="3794"/>
      <c r="C128" s="3115" t="s">
        <v>2775</v>
      </c>
      <c r="D128" s="3089" t="s">
        <v>2776</v>
      </c>
      <c r="E128" s="3115">
        <v>0.1</v>
      </c>
      <c r="F128" s="3115">
        <v>15</v>
      </c>
    </row>
    <row r="129" spans="1:6" ht="25.5">
      <c r="A129" s="3115">
        <v>57</v>
      </c>
      <c r="B129" s="3794"/>
      <c r="C129" s="3115" t="s">
        <v>2777</v>
      </c>
      <c r="D129" s="3089" t="s">
        <v>2778</v>
      </c>
      <c r="E129" s="3115">
        <v>0.1</v>
      </c>
      <c r="F129" s="3115">
        <v>15</v>
      </c>
    </row>
    <row r="130" spans="1:6" ht="25.5">
      <c r="A130" s="3115">
        <v>58</v>
      </c>
      <c r="B130" s="3794" t="s">
        <v>2779</v>
      </c>
      <c r="C130" s="3115" t="s">
        <v>2780</v>
      </c>
      <c r="D130" s="3089" t="s">
        <v>2781</v>
      </c>
      <c r="E130" s="3115">
        <v>0.1</v>
      </c>
      <c r="F130" s="3115">
        <v>15</v>
      </c>
    </row>
    <row r="131" spans="1:6" ht="25.5">
      <c r="A131" s="3115">
        <v>59</v>
      </c>
      <c r="B131" s="3794"/>
      <c r="C131" s="3115" t="s">
        <v>2782</v>
      </c>
      <c r="D131" s="3089" t="s">
        <v>2783</v>
      </c>
      <c r="E131" s="3115">
        <v>0.1</v>
      </c>
      <c r="F131" s="3115">
        <v>15</v>
      </c>
    </row>
    <row r="132" spans="1:6" ht="25.5">
      <c r="A132" s="3115">
        <v>60</v>
      </c>
      <c r="B132" s="3795" t="s">
        <v>2784</v>
      </c>
      <c r="C132" s="3115" t="s">
        <v>2785</v>
      </c>
      <c r="D132" s="3089" t="s">
        <v>2786</v>
      </c>
      <c r="E132" s="3115">
        <v>0.1</v>
      </c>
      <c r="F132" s="3115">
        <v>15</v>
      </c>
    </row>
    <row r="133" spans="1:6" ht="25.5">
      <c r="A133" s="3115">
        <v>61</v>
      </c>
      <c r="B133" s="3796"/>
      <c r="C133" s="3115" t="s">
        <v>2787</v>
      </c>
      <c r="D133" s="3089" t="s">
        <v>2788</v>
      </c>
      <c r="E133" s="3115">
        <v>0.1</v>
      </c>
      <c r="F133" s="3115">
        <v>15</v>
      </c>
    </row>
    <row r="134" spans="1:6" ht="25.5">
      <c r="A134" s="3115">
        <v>62</v>
      </c>
      <c r="B134" s="3115" t="s">
        <v>2789</v>
      </c>
      <c r="C134" s="3115" t="s">
        <v>2790</v>
      </c>
      <c r="D134" s="3089" t="s">
        <v>2791</v>
      </c>
      <c r="E134" s="3115">
        <v>0.1</v>
      </c>
      <c r="F134" s="3115">
        <v>15</v>
      </c>
    </row>
    <row r="135" spans="1:6" ht="25.5">
      <c r="A135" s="3115">
        <v>63</v>
      </c>
      <c r="B135" s="3794" t="s">
        <v>2792</v>
      </c>
      <c r="C135" s="3115" t="s">
        <v>2793</v>
      </c>
      <c r="D135" s="3089" t="s">
        <v>2794</v>
      </c>
      <c r="E135" s="3115">
        <v>0.1</v>
      </c>
      <c r="F135" s="3115">
        <v>15</v>
      </c>
    </row>
    <row r="136" spans="1:6" ht="14.25">
      <c r="A136" s="3115">
        <v>64</v>
      </c>
      <c r="B136" s="3794"/>
      <c r="C136" s="3115" t="s">
        <v>2795</v>
      </c>
      <c r="D136" s="3089" t="s">
        <v>2796</v>
      </c>
      <c r="E136" s="3115">
        <v>0.1</v>
      </c>
      <c r="F136" s="3115">
        <v>15</v>
      </c>
    </row>
    <row r="137" spans="1:6" ht="25.5">
      <c r="A137" s="3115">
        <v>65</v>
      </c>
      <c r="B137" s="3115" t="s">
        <v>2797</v>
      </c>
      <c r="C137" s="3115" t="s">
        <v>2798</v>
      </c>
      <c r="D137" s="3089" t="s">
        <v>2799</v>
      </c>
      <c r="E137" s="3115">
        <v>0.1</v>
      </c>
      <c r="F137" s="3115">
        <v>15</v>
      </c>
    </row>
    <row r="138" spans="1:6" ht="14.25">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91" customWidth="1"/>
    <col min="2" max="2" width="37.125" style="1491" customWidth="1"/>
    <col min="3" max="3" width="11.375" style="1491" customWidth="1"/>
    <col min="4" max="4" width="31.62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估价结果一览表（市场价值不需“结果表-1”）</v>
      </c>
      <c r="B3" s="3491"/>
      <c r="C3" s="3491"/>
      <c r="D3" s="3491"/>
      <c r="E3" s="3491"/>
    </row>
    <row r="4" spans="1:5" ht="19.5" thickBot="1">
      <c r="A4" s="1492"/>
      <c r="B4" s="3489" t="s">
        <v>917</v>
      </c>
      <c r="C4" s="3489"/>
      <c r="D4" s="3489"/>
      <c r="E4" s="1492"/>
    </row>
    <row r="5" spans="1:5" ht="16.5" thickTop="1">
      <c r="A5" s="1490"/>
      <c r="B5" s="3487" t="s">
        <v>909</v>
      </c>
      <c r="C5" s="1493" t="s">
        <v>910</v>
      </c>
      <c r="D5" s="850" t="e">
        <f ca="1">结果表!H101</f>
        <v>#REF!</v>
      </c>
      <c r="E5" s="1490"/>
    </row>
    <row r="6" spans="1:5" ht="15.75">
      <c r="A6" s="1490"/>
      <c r="B6" s="3487"/>
      <c r="C6" s="1493" t="s">
        <v>911</v>
      </c>
      <c r="D6" s="850" t="e">
        <f ca="1">NUMBERSTRING(INT(D5*10000),2)&amp;"元整"</f>
        <v>#REF!</v>
      </c>
      <c r="E6" s="1490"/>
    </row>
    <row r="7" spans="1:5" ht="15.75">
      <c r="A7" s="1490"/>
      <c r="B7" s="3492"/>
      <c r="C7" s="1494" t="s">
        <v>912</v>
      </c>
      <c r="D7" s="851" t="e">
        <f ca="1">结果表!H102</f>
        <v>#REF!</v>
      </c>
      <c r="E7" s="1490"/>
    </row>
    <row r="8" spans="1:5" ht="15.75">
      <c r="A8" s="1490"/>
      <c r="B8" s="3493" t="str">
        <f>结果表!E103</f>
        <v>2.估价师知悉的法定优先受偿款</v>
      </c>
      <c r="C8" s="1495" t="s">
        <v>913</v>
      </c>
      <c r="D8" s="851">
        <f>结果表!H103</f>
        <v>0</v>
      </c>
      <c r="E8" s="1490"/>
    </row>
    <row r="9" spans="1:5" ht="15.75">
      <c r="A9" s="1490"/>
      <c r="B9" s="3495"/>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6" t="str">
        <f>结果表!E107</f>
        <v>3.房地产抵押价值</v>
      </c>
      <c r="C13" s="1498" t="s">
        <v>910</v>
      </c>
      <c r="D13" s="853" t="e">
        <f ca="1">结果表!H107</f>
        <v>#REF!</v>
      </c>
      <c r="E13" s="1490"/>
    </row>
    <row r="14" spans="1:5" ht="15.75">
      <c r="A14" s="1490"/>
      <c r="B14" s="3487"/>
      <c r="C14" s="1493" t="s">
        <v>911</v>
      </c>
      <c r="D14" s="850" t="e">
        <f ca="1">NUMBERSTRING(INT(D13*10000),2)&amp;"元整"</f>
        <v>#REF!</v>
      </c>
      <c r="E14" s="1490"/>
    </row>
    <row r="15" spans="1:5" ht="15">
      <c r="A15" s="1490"/>
      <c r="B15" s="3492"/>
      <c r="C15" s="1494" t="s">
        <v>921</v>
      </c>
      <c r="D15" s="859" t="e">
        <f ca="1">结果表!H108</f>
        <v>#REF!</v>
      </c>
      <c r="E15" s="1490"/>
    </row>
    <row r="16" spans="1:5" ht="15">
      <c r="A16" s="1490"/>
      <c r="B16" s="3493" t="str">
        <f>结果表!E109</f>
        <v>——</v>
      </c>
      <c r="C16" s="1498" t="s">
        <v>922</v>
      </c>
      <c r="D16" s="1499" t="str">
        <f>结果表!H109</f>
        <v>——</v>
      </c>
      <c r="E16" s="1490"/>
    </row>
    <row r="17" spans="1:5" ht="15.75">
      <c r="A17" s="1490"/>
      <c r="B17" s="3494"/>
      <c r="C17" s="1493" t="s">
        <v>923</v>
      </c>
      <c r="D17" s="850" t="e">
        <f>NUMBERSTRING(INT(D16*10000),2)&amp;"元整"</f>
        <v>#VALUE!</v>
      </c>
      <c r="E17" s="1490"/>
    </row>
    <row r="18" spans="1:5" ht="15">
      <c r="A18" s="1490"/>
      <c r="B18" s="3495"/>
      <c r="C18" s="1494" t="s">
        <v>912</v>
      </c>
      <c r="D18" s="859" t="str">
        <f>结果表!H110</f>
        <v>——</v>
      </c>
      <c r="E18" s="1490"/>
    </row>
    <row r="19" spans="1:5" ht="15.75">
      <c r="A19" s="1490"/>
      <c r="B19" s="3486" t="str">
        <f>结果表!E111</f>
        <v>——</v>
      </c>
      <c r="C19" s="1498" t="s">
        <v>910</v>
      </c>
      <c r="D19" s="851" t="str">
        <f>结果表!H111</f>
        <v>——</v>
      </c>
      <c r="E19" s="1490"/>
    </row>
    <row r="20" spans="1:5" ht="15.75">
      <c r="A20" s="1490"/>
      <c r="B20" s="3487"/>
      <c r="C20" s="1493" t="s">
        <v>923</v>
      </c>
      <c r="D20" s="850" t="e">
        <f>NUMBERSTRING(INT(D19*10000),2)&amp;"元整"</f>
        <v>#VALUE!</v>
      </c>
      <c r="E20" s="1490"/>
    </row>
    <row r="21" spans="1:5" ht="15.75" thickBot="1">
      <c r="A21" s="1490"/>
      <c r="B21" s="3488"/>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25"/>
  <cols>
    <col min="1" max="13" width="9" style="3138"/>
    <col min="14" max="16384" width="9" style="750"/>
  </cols>
  <sheetData>
    <row r="1" spans="1:20" ht="15" thickBot="1">
      <c r="A1" s="3124" t="s">
        <v>2801</v>
      </c>
      <c r="B1" s="3124"/>
      <c r="C1" s="3124"/>
      <c r="D1" s="3124"/>
      <c r="E1" s="3124"/>
      <c r="F1" s="3124"/>
      <c r="G1" s="3124"/>
      <c r="H1" s="3124"/>
      <c r="I1" s="3124"/>
      <c r="J1" s="3124"/>
      <c r="K1" s="3124"/>
      <c r="L1" s="3124"/>
      <c r="M1" s="3124"/>
      <c r="N1" s="749"/>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29617</v>
      </c>
      <c r="C2" s="2" t="s">
        <v>106</v>
      </c>
      <c r="D2" s="199"/>
      <c r="E2" s="199"/>
      <c r="F2" s="199"/>
      <c r="G2" s="199"/>
    </row>
    <row r="3" spans="1:7" s="200" customFormat="1" ht="18" customHeight="1" thickBot="1">
      <c r="A3" s="203" t="s">
        <v>58</v>
      </c>
      <c r="B3" s="204">
        <f ca="1">ROUND(B2*10000/'数据-汇总表'!E3,0)</f>
        <v>5214261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56.8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56.8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989</v>
      </c>
      <c r="D22" s="235">
        <f ca="1">C26</f>
        <v>5.0000000000000001E-4</v>
      </c>
      <c r="E22" s="236" t="s">
        <v>99</v>
      </c>
      <c r="F22" s="237">
        <f ca="1">'数据-取费表'!B40</f>
        <v>4.7500000000000001E-2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979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29602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56.8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68" t="s">
        <v>94</v>
      </c>
    </row>
    <row r="43" spans="1:7" ht="13.5" customHeight="1">
      <c r="A43" s="780" t="s">
        <v>347</v>
      </c>
      <c r="B43" s="215" t="s">
        <v>426</v>
      </c>
      <c r="C43" s="238">
        <f ca="1">ROUND(IF('数据-取费表'!B22&lt;=1,C39*F22*'数据-取费表'!B21/2,C39*(POWER((1+F22),'数据-取费表'!B21/2)-1)),0)</f>
        <v>0</v>
      </c>
      <c r="D43" s="238"/>
      <c r="E43" s="238"/>
      <c r="F43" s="239"/>
      <c r="G43" s="3669"/>
    </row>
    <row r="44" spans="1:7" ht="13.5" customHeight="1">
      <c r="A44" s="780" t="s">
        <v>348</v>
      </c>
      <c r="B44" s="215" t="s">
        <v>428</v>
      </c>
      <c r="C44" s="238">
        <f ca="1">ROUND(IF('数据-取费表'!B22&lt;=1,C40*F22*'数据-取费表'!B21/2,C40*(POWER((1+F22),'数据-取费表'!B21/2)-1)),4)</f>
        <v>5.0000000000000001E-4</v>
      </c>
      <c r="D44" s="238"/>
      <c r="E44" s="238"/>
      <c r="F44" s="239"/>
      <c r="G44" s="3670"/>
    </row>
    <row r="45" spans="1:7" s="214" customFormat="1" ht="13.5" customHeight="1">
      <c r="A45" s="777" t="s">
        <v>341</v>
      </c>
      <c r="B45" s="244" t="s">
        <v>85</v>
      </c>
      <c r="C45" s="245">
        <f>C46</f>
        <v>5</v>
      </c>
      <c r="D45" s="235">
        <f>C47</f>
        <v>5.0000000000000001E-3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15</v>
      </c>
      <c r="D51" s="232"/>
      <c r="E51" s="232"/>
      <c r="F51" s="264"/>
      <c r="G51" s="234" t="s">
        <v>37</v>
      </c>
    </row>
    <row r="52" spans="1:7" s="208" customFormat="1" ht="16.5" thickBot="1">
      <c r="A52" s="265" t="s">
        <v>38</v>
      </c>
      <c r="B52" s="266"/>
      <c r="C52" s="267">
        <f ca="1">C31+C51</f>
        <v>29617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2"/>
  <cols>
    <col min="1" max="1" width="9.625" style="3223" customWidth="1"/>
    <col min="2" max="2" width="18.625" style="3223" customWidth="1"/>
    <col min="3" max="6" width="10.125" style="3223" customWidth="1"/>
    <col min="7" max="7" width="10.5" style="3223" bestFit="1" customWidth="1"/>
    <col min="8" max="8" width="8.875" style="3219"/>
    <col min="9" max="9" width="13.375" style="3219" customWidth="1"/>
    <col min="10" max="13" width="13.375" style="3223" customWidth="1"/>
    <col min="14" max="14" width="18.125" style="3223" customWidth="1"/>
    <col min="15" max="17" width="15.125" style="3223" customWidth="1"/>
    <col min="18" max="20" width="11.5" style="3223" customWidth="1"/>
    <col min="21" max="16384" width="8.875" style="3223"/>
  </cols>
  <sheetData>
    <row r="1" spans="1:20" ht="12.75" thickBot="1">
      <c r="A1" s="3808" t="s">
        <v>2846</v>
      </c>
      <c r="B1" s="3808"/>
      <c r="C1" s="3808"/>
      <c r="D1" s="3808"/>
      <c r="E1" s="3808"/>
      <c r="F1" s="3808"/>
      <c r="G1" s="3809"/>
      <c r="I1" s="3220" t="s">
        <v>2847</v>
      </c>
      <c r="J1" s="3221" t="s">
        <v>2848</v>
      </c>
      <c r="K1" s="3221" t="s">
        <v>2849</v>
      </c>
      <c r="L1" s="3221" t="s">
        <v>2850</v>
      </c>
      <c r="M1" s="3221" t="s">
        <v>2851</v>
      </c>
      <c r="N1" s="3221" t="s">
        <v>2852</v>
      </c>
      <c r="O1" s="3221" t="s">
        <v>2853</v>
      </c>
      <c r="P1" s="3221" t="s">
        <v>2854</v>
      </c>
      <c r="Q1" s="3221" t="s">
        <v>2855</v>
      </c>
      <c r="R1" s="3221" t="s">
        <v>2856</v>
      </c>
      <c r="S1" s="3221" t="s">
        <v>2857</v>
      </c>
      <c r="T1" s="3222" t="s">
        <v>2858</v>
      </c>
    </row>
    <row r="2" spans="1:20" ht="12.75" thickBot="1">
      <c r="A2" s="3224" t="s">
        <v>2859</v>
      </c>
      <c r="B2" s="3224"/>
      <c r="C2" s="3224"/>
      <c r="D2" s="3224"/>
      <c r="E2" s="3224"/>
      <c r="F2" s="3224"/>
      <c r="G2" s="3225" t="s">
        <v>2860</v>
      </c>
      <c r="I2" s="3226" t="s">
        <v>2861</v>
      </c>
      <c r="J2" s="3226" t="s">
        <v>2862</v>
      </c>
      <c r="K2" s="3226" t="s">
        <v>2863</v>
      </c>
      <c r="L2" s="3226" t="s">
        <v>2864</v>
      </c>
      <c r="M2" s="3226" t="s">
        <v>2865</v>
      </c>
      <c r="N2" s="3226" t="s">
        <v>2866</v>
      </c>
      <c r="O2" s="3226" t="s">
        <v>2867</v>
      </c>
      <c r="P2" s="3226" t="s">
        <v>2868</v>
      </c>
      <c r="Q2" s="3226" t="s">
        <v>2869</v>
      </c>
      <c r="R2" s="3226" t="s">
        <v>2870</v>
      </c>
      <c r="S2" s="3226" t="s">
        <v>2871</v>
      </c>
      <c r="T2" s="3226" t="s">
        <v>2872</v>
      </c>
    </row>
    <row r="3" spans="1:20" s="3232" customFormat="1">
      <c r="A3" s="3806" t="s">
        <v>2873</v>
      </c>
      <c r="B3" s="3227"/>
      <c r="C3" s="3228" t="s">
        <v>2814</v>
      </c>
      <c r="D3" s="3228" t="s">
        <v>2874</v>
      </c>
      <c r="E3" s="3228" t="s">
        <v>2816</v>
      </c>
      <c r="F3" s="3228" t="s">
        <v>2875</v>
      </c>
      <c r="G3" s="3228" t="s">
        <v>2634</v>
      </c>
      <c r="H3" s="3229"/>
      <c r="I3" s="3230" t="s">
        <v>2876</v>
      </c>
      <c r="J3" s="3231" t="s">
        <v>128</v>
      </c>
      <c r="K3" s="3231" t="s">
        <v>129</v>
      </c>
      <c r="L3" s="3230" t="s">
        <v>130</v>
      </c>
      <c r="M3" s="3230" t="s">
        <v>131</v>
      </c>
      <c r="N3" s="3230" t="s">
        <v>132</v>
      </c>
      <c r="O3" s="3230" t="s">
        <v>133</v>
      </c>
      <c r="P3" s="3230" t="s">
        <v>134</v>
      </c>
      <c r="Q3" s="3230" t="s">
        <v>135</v>
      </c>
      <c r="R3" s="3230" t="s">
        <v>136</v>
      </c>
      <c r="S3" s="3230" t="s">
        <v>2877</v>
      </c>
      <c r="T3" s="3230" t="s">
        <v>2878</v>
      </c>
    </row>
    <row r="4" spans="1:20" s="3232" customFormat="1" ht="12.75" thickBot="1">
      <c r="A4" s="3807"/>
      <c r="B4" s="3233" t="s">
        <v>2879</v>
      </c>
      <c r="C4" s="3233" t="s">
        <v>2880</v>
      </c>
      <c r="D4" s="3233" t="s">
        <v>2880</v>
      </c>
      <c r="E4" s="3233" t="s">
        <v>2880</v>
      </c>
      <c r="F4" s="3234" t="s">
        <v>2880</v>
      </c>
      <c r="G4" s="3234" t="s">
        <v>2880</v>
      </c>
      <c r="H4" s="3229"/>
      <c r="I4" s="3231" t="s">
        <v>137</v>
      </c>
      <c r="J4" s="3231" t="s">
        <v>111</v>
      </c>
      <c r="K4" s="3231" t="s">
        <v>138</v>
      </c>
      <c r="L4" s="3230" t="s">
        <v>139</v>
      </c>
      <c r="M4" s="3230" t="s">
        <v>140</v>
      </c>
      <c r="N4" s="3230" t="s">
        <v>141</v>
      </c>
      <c r="O4" s="3230" t="s">
        <v>142</v>
      </c>
      <c r="P4" s="3230" t="s">
        <v>143</v>
      </c>
      <c r="Q4" s="3230" t="s">
        <v>2881</v>
      </c>
      <c r="R4" s="3230" t="s">
        <v>2882</v>
      </c>
      <c r="S4" s="3230" t="s">
        <v>2883</v>
      </c>
      <c r="T4" s="3230" t="s">
        <v>2884</v>
      </c>
    </row>
    <row r="5" spans="1:20">
      <c r="A5" s="3235" t="s">
        <v>2847</v>
      </c>
      <c r="B5" s="3226" t="s">
        <v>2861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2885</v>
      </c>
      <c r="R5" s="3230" t="s">
        <v>2886</v>
      </c>
      <c r="S5" s="3230" t="s">
        <v>153</v>
      </c>
      <c r="T5" s="3230" t="s">
        <v>2887</v>
      </c>
    </row>
    <row r="6" spans="1:20" ht="12.75" thickBot="1">
      <c r="A6" s="3230" t="s">
        <v>144</v>
      </c>
      <c r="B6" s="3230" t="s">
        <v>2876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2888</v>
      </c>
      <c r="Q6" s="3230" t="s">
        <v>2889</v>
      </c>
      <c r="R6" s="3230" t="s">
        <v>161</v>
      </c>
      <c r="S6" s="3230" t="s">
        <v>2890</v>
      </c>
      <c r="T6" s="3230" t="s">
        <v>2891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2892</v>
      </c>
      <c r="Q7" s="3230" t="s">
        <v>2893</v>
      </c>
      <c r="R7" s="3230" t="s">
        <v>2894</v>
      </c>
      <c r="S7" s="3230" t="s">
        <v>2895</v>
      </c>
      <c r="T7" s="3230" t="s">
        <v>2896</v>
      </c>
    </row>
    <row r="8" spans="1:20" ht="12.75"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2897</v>
      </c>
      <c r="Q8" s="3230" t="s">
        <v>174</v>
      </c>
      <c r="R8" s="3230" t="s">
        <v>2898</v>
      </c>
      <c r="S8" s="3230" t="s">
        <v>2899</v>
      </c>
      <c r="T8" s="3237" t="s">
        <v>2900</v>
      </c>
    </row>
    <row r="9" spans="1:20" ht="12.75"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2901</v>
      </c>
      <c r="Q9" s="3230" t="s">
        <v>182</v>
      </c>
      <c r="R9" s="3230" t="s">
        <v>183</v>
      </c>
      <c r="S9" s="3230" t="s">
        <v>200</v>
      </c>
    </row>
    <row r="10" spans="1:20">
      <c r="A10" s="3235" t="s">
        <v>184</v>
      </c>
      <c r="B10" s="3226" t="s">
        <v>2862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2903</v>
      </c>
      <c r="P11" s="3230" t="s">
        <v>191</v>
      </c>
      <c r="Q11" s="3230" t="s">
        <v>199</v>
      </c>
      <c r="R11" s="3230" t="s">
        <v>2904</v>
      </c>
      <c r="S11" s="3230" t="s">
        <v>2905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2906</v>
      </c>
      <c r="P12" s="3230" t="s">
        <v>2907</v>
      </c>
      <c r="Q12" s="3230" t="s">
        <v>2908</v>
      </c>
      <c r="R12" s="3230" t="s">
        <v>2909</v>
      </c>
      <c r="S12" s="3230" t="s">
        <v>2910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2912</v>
      </c>
      <c r="K14" s="3231" t="s">
        <v>215</v>
      </c>
      <c r="L14" s="3230" t="s">
        <v>216</v>
      </c>
      <c r="M14" s="3230" t="s">
        <v>217</v>
      </c>
      <c r="N14" s="3230" t="s">
        <v>218</v>
      </c>
      <c r="O14" s="3230" t="s">
        <v>240</v>
      </c>
      <c r="P14" s="3230" t="s">
        <v>213</v>
      </c>
      <c r="Q14" s="3230" t="s">
        <v>2913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2914</v>
      </c>
      <c r="P15" s="3230" t="s">
        <v>2915</v>
      </c>
      <c r="Q15" s="3230" t="s">
        <v>242</v>
      </c>
      <c r="R15" s="3230" t="s">
        <v>2916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2917</v>
      </c>
      <c r="P16" s="3230" t="s">
        <v>227</v>
      </c>
      <c r="Q16" s="3230" t="s">
        <v>250</v>
      </c>
      <c r="R16" s="3230" t="s">
        <v>207</v>
      </c>
      <c r="S16" s="3230" t="s">
        <v>2918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2919</v>
      </c>
      <c r="P17" s="3230" t="s">
        <v>2920</v>
      </c>
      <c r="Q17" s="3230" t="s">
        <v>256</v>
      </c>
      <c r="R17" s="3230" t="s">
        <v>2921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2922</v>
      </c>
      <c r="P18" s="3230" t="s">
        <v>241</v>
      </c>
      <c r="Q18" s="3230" t="s">
        <v>2923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2924</v>
      </c>
      <c r="P19" s="3230" t="s">
        <v>249</v>
      </c>
      <c r="Q19" s="3230" t="s">
        <v>2925</v>
      </c>
      <c r="R19" s="3230" t="s">
        <v>265</v>
      </c>
      <c r="S19" s="3230" t="s">
        <v>2926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2927</v>
      </c>
      <c r="P20" s="3230" t="s">
        <v>2928</v>
      </c>
      <c r="Q20" s="3230" t="s">
        <v>290</v>
      </c>
      <c r="R20" s="3230" t="s">
        <v>2929</v>
      </c>
      <c r="S20" s="3230" t="s">
        <v>277</v>
      </c>
    </row>
    <row r="21" spans="1:19" ht="14.25" customHeight="1" thickBot="1">
      <c r="A21" s="3230" t="s">
        <v>184</v>
      </c>
      <c r="B21" s="3231" t="s">
        <v>208</v>
      </c>
      <c r="C21" s="3230">
        <v>32370</v>
      </c>
      <c r="D21" s="3230">
        <v>26730</v>
      </c>
      <c r="E21" s="3230">
        <v>26640</v>
      </c>
      <c r="F21" s="3230"/>
      <c r="G21" s="3230">
        <v>19440</v>
      </c>
      <c r="J21" s="3237" t="s">
        <v>2930</v>
      </c>
      <c r="K21" s="3231" t="s">
        <v>267</v>
      </c>
      <c r="L21" s="3230" t="s">
        <v>268</v>
      </c>
      <c r="M21" s="3230" t="s">
        <v>269</v>
      </c>
      <c r="N21" s="3230" t="s">
        <v>270</v>
      </c>
      <c r="O21" s="3230" t="s">
        <v>264</v>
      </c>
      <c r="P21" s="3230" t="s">
        <v>283</v>
      </c>
      <c r="Q21" s="3230" t="s">
        <v>293</v>
      </c>
      <c r="R21" s="3230" t="s">
        <v>2931</v>
      </c>
      <c r="S21" s="3237" t="s">
        <v>2932</v>
      </c>
    </row>
    <row r="22" spans="1:19" ht="14.25" customHeight="1">
      <c r="A22" s="3230" t="s">
        <v>184</v>
      </c>
      <c r="B22" s="3231" t="s">
        <v>2912</v>
      </c>
      <c r="C22" s="3230">
        <v>29830</v>
      </c>
      <c r="D22" s="3230">
        <v>27600</v>
      </c>
      <c r="E22" s="3230">
        <v>28150</v>
      </c>
      <c r="F22" s="3230"/>
      <c r="G22" s="3230">
        <v>20080</v>
      </c>
      <c r="K22" s="3231" t="s">
        <v>2933</v>
      </c>
      <c r="L22" s="3230" t="s">
        <v>272</v>
      </c>
      <c r="M22" s="3230" t="s">
        <v>273</v>
      </c>
      <c r="N22" s="3230" t="s">
        <v>274</v>
      </c>
      <c r="O22" s="3230" t="s">
        <v>2934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2935</v>
      </c>
      <c r="L23" s="3230" t="s">
        <v>278</v>
      </c>
      <c r="M23" s="3230" t="s">
        <v>279</v>
      </c>
      <c r="N23" s="3230" t="s">
        <v>2936</v>
      </c>
      <c r="O23" s="3230" t="s">
        <v>2937</v>
      </c>
      <c r="P23" s="3230" t="s">
        <v>289</v>
      </c>
      <c r="Q23" s="3230" t="s">
        <v>298</v>
      </c>
      <c r="R23" s="3230" t="s">
        <v>2938</v>
      </c>
    </row>
    <row r="24" spans="1:19" ht="14.25" customHeight="1">
      <c r="A24" s="3230" t="s">
        <v>184</v>
      </c>
      <c r="B24" s="3231" t="s">
        <v>230</v>
      </c>
      <c r="C24" s="3230">
        <v>27930</v>
      </c>
      <c r="D24" s="3230">
        <v>32260</v>
      </c>
      <c r="E24" s="3230">
        <v>32120</v>
      </c>
      <c r="F24" s="3230"/>
      <c r="G24" s="3230">
        <v>23470</v>
      </c>
      <c r="K24" s="3231" t="s">
        <v>2939</v>
      </c>
      <c r="L24" s="3230" t="s">
        <v>281</v>
      </c>
      <c r="M24" s="3230" t="s">
        <v>282</v>
      </c>
      <c r="N24" s="3230" t="s">
        <v>2940</v>
      </c>
      <c r="O24" s="3230" t="s">
        <v>285</v>
      </c>
      <c r="P24" s="3230" t="s">
        <v>2941</v>
      </c>
      <c r="Q24" s="3239" t="s">
        <v>2942</v>
      </c>
      <c r="R24" s="3230" t="s">
        <v>2943</v>
      </c>
    </row>
    <row r="25" spans="1:19" ht="14.25" customHeight="1">
      <c r="A25" s="3230" t="s">
        <v>184</v>
      </c>
      <c r="B25" s="3231" t="s">
        <v>235</v>
      </c>
      <c r="C25" s="3230">
        <v>32230</v>
      </c>
      <c r="D25" s="3230">
        <v>29640</v>
      </c>
      <c r="E25" s="3230">
        <v>29510</v>
      </c>
      <c r="F25" s="3230"/>
      <c r="G25" s="3230">
        <v>21560</v>
      </c>
      <c r="K25" s="3231" t="s">
        <v>2944</v>
      </c>
      <c r="L25" s="3230" t="s">
        <v>2945</v>
      </c>
      <c r="M25" s="3230" t="s">
        <v>284</v>
      </c>
      <c r="N25" s="3230" t="s">
        <v>292</v>
      </c>
      <c r="O25" s="3230" t="s">
        <v>288</v>
      </c>
      <c r="P25" s="3230" t="s">
        <v>275</v>
      </c>
      <c r="Q25" s="3239" t="s">
        <v>271</v>
      </c>
      <c r="R25" s="3230" t="s">
        <v>2946</v>
      </c>
    </row>
    <row r="26" spans="1:19" ht="14.25" customHeight="1" thickBot="1">
      <c r="A26" s="3230" t="s">
        <v>184</v>
      </c>
      <c r="B26" s="3231" t="s">
        <v>244</v>
      </c>
      <c r="C26" s="3230">
        <v>31690</v>
      </c>
      <c r="D26" s="3230">
        <v>27650</v>
      </c>
      <c r="E26" s="3230">
        <v>28200</v>
      </c>
      <c r="F26" s="3230"/>
      <c r="G26" s="3230">
        <v>20110</v>
      </c>
      <c r="K26" s="3236" t="s">
        <v>2947</v>
      </c>
      <c r="L26" s="3230" t="s">
        <v>2948</v>
      </c>
      <c r="M26" s="3230" t="s">
        <v>287</v>
      </c>
      <c r="N26" s="3230" t="s">
        <v>294</v>
      </c>
      <c r="O26" s="3230" t="s">
        <v>2949</v>
      </c>
      <c r="P26" s="3230" t="s">
        <v>2950</v>
      </c>
      <c r="Q26" s="3239" t="s">
        <v>276</v>
      </c>
      <c r="R26" s="3230" t="s">
        <v>2951</v>
      </c>
    </row>
    <row r="27" spans="1:19" ht="14.25" customHeight="1">
      <c r="A27" s="3230" t="s">
        <v>184</v>
      </c>
      <c r="B27" s="3231" t="s">
        <v>251</v>
      </c>
      <c r="C27" s="3230">
        <v>29610</v>
      </c>
      <c r="D27" s="3230">
        <v>27770</v>
      </c>
      <c r="E27" s="3230">
        <v>28300</v>
      </c>
      <c r="F27" s="3230"/>
      <c r="G27" s="3230">
        <v>20210</v>
      </c>
      <c r="L27" s="3230" t="s">
        <v>2952</v>
      </c>
      <c r="M27" s="3230" t="s">
        <v>291</v>
      </c>
      <c r="N27" s="3230" t="s">
        <v>297</v>
      </c>
      <c r="O27" s="3230" t="s">
        <v>2953</v>
      </c>
      <c r="P27" s="3230" t="s">
        <v>2954</v>
      </c>
      <c r="Q27" s="3230" t="s">
        <v>2955</v>
      </c>
      <c r="R27" s="3230" t="s">
        <v>2956</v>
      </c>
    </row>
    <row r="28" spans="1:19" ht="14.25" customHeight="1">
      <c r="A28" s="3230" t="s">
        <v>184</v>
      </c>
      <c r="B28" s="3231" t="s">
        <v>259</v>
      </c>
      <c r="C28" s="3230"/>
      <c r="D28" s="3230">
        <v>31520</v>
      </c>
      <c r="E28" s="3230">
        <v>31410</v>
      </c>
      <c r="F28" s="3230"/>
      <c r="G28" s="3230">
        <v>22940</v>
      </c>
      <c r="L28" s="3230" t="s">
        <v>2957</v>
      </c>
      <c r="M28" s="3230" t="s">
        <v>2958</v>
      </c>
      <c r="N28" s="3230" t="s">
        <v>2959</v>
      </c>
      <c r="O28" s="3230" t="s">
        <v>2960</v>
      </c>
      <c r="P28" s="3230" t="s">
        <v>2961</v>
      </c>
      <c r="Q28" s="3230" t="s">
        <v>2962</v>
      </c>
      <c r="R28" s="3230" t="s">
        <v>2963</v>
      </c>
    </row>
    <row r="29" spans="1:19" ht="14.25" customHeight="1" thickBot="1">
      <c r="A29" s="3238" t="s">
        <v>184</v>
      </c>
      <c r="B29" s="3240" t="s">
        <v>2930</v>
      </c>
      <c r="C29" s="3241"/>
      <c r="D29" s="3241">
        <v>29460</v>
      </c>
      <c r="E29" s="3241">
        <v>28640</v>
      </c>
      <c r="F29" s="3241"/>
      <c r="G29" s="3241">
        <v>21430</v>
      </c>
      <c r="L29" s="3230" t="s">
        <v>2964</v>
      </c>
      <c r="M29" s="3230" t="s">
        <v>2965</v>
      </c>
      <c r="N29" s="3230" t="s">
        <v>2966</v>
      </c>
      <c r="O29" s="3230" t="s">
        <v>2967</v>
      </c>
      <c r="P29" s="3230" t="s">
        <v>2968</v>
      </c>
      <c r="Q29" s="3230" t="s">
        <v>2969</v>
      </c>
      <c r="R29" s="3230" t="s">
        <v>280</v>
      </c>
    </row>
    <row r="30" spans="1:19" ht="14.25" customHeight="1">
      <c r="A30" s="3235" t="s">
        <v>296</v>
      </c>
      <c r="B30" s="3226" t="s">
        <v>2863</v>
      </c>
      <c r="C30" s="3226">
        <v>26890</v>
      </c>
      <c r="D30" s="3226">
        <v>26770</v>
      </c>
      <c r="E30" s="3226">
        <v>25700</v>
      </c>
      <c r="F30" s="3226">
        <v>8180</v>
      </c>
      <c r="G30" s="3242">
        <v>18740</v>
      </c>
      <c r="L30" s="3230" t="s">
        <v>2970</v>
      </c>
      <c r="M30" s="3230" t="s">
        <v>2971</v>
      </c>
      <c r="N30" s="3230" t="s">
        <v>2972</v>
      </c>
      <c r="O30" s="3230" t="s">
        <v>2973</v>
      </c>
      <c r="P30" s="3230" t="s">
        <v>2974</v>
      </c>
      <c r="Q30" s="3230" t="s">
        <v>2975</v>
      </c>
      <c r="R30" s="3230" t="s">
        <v>2976</v>
      </c>
    </row>
    <row r="31" spans="1:19" ht="14.25" customHeight="1">
      <c r="A31" s="3230" t="s">
        <v>296</v>
      </c>
      <c r="B31" s="3231" t="s">
        <v>129</v>
      </c>
      <c r="C31" s="3230">
        <v>24550</v>
      </c>
      <c r="D31" s="3230">
        <v>23990</v>
      </c>
      <c r="E31" s="3230">
        <v>22930</v>
      </c>
      <c r="F31" s="3230">
        <v>7470</v>
      </c>
      <c r="G31" s="3243">
        <v>16790</v>
      </c>
      <c r="L31" s="3230" t="s">
        <v>2977</v>
      </c>
      <c r="M31" s="3230" t="s">
        <v>2978</v>
      </c>
      <c r="N31" s="3230" t="s">
        <v>2979</v>
      </c>
      <c r="O31" s="3230" t="s">
        <v>2980</v>
      </c>
      <c r="P31" s="3230" t="s">
        <v>2981</v>
      </c>
      <c r="Q31" s="3230" t="s">
        <v>2982</v>
      </c>
      <c r="R31" s="3230" t="s">
        <v>2983</v>
      </c>
    </row>
    <row r="32" spans="1:19" ht="14.25" customHeight="1" thickBot="1">
      <c r="A32" s="3230" t="s">
        <v>296</v>
      </c>
      <c r="B32" s="3231" t="s">
        <v>138</v>
      </c>
      <c r="C32" s="3230">
        <v>27210</v>
      </c>
      <c r="D32" s="3230">
        <v>23240</v>
      </c>
      <c r="E32" s="3230">
        <v>23260</v>
      </c>
      <c r="F32" s="3230">
        <v>7130</v>
      </c>
      <c r="G32" s="3243">
        <v>16270</v>
      </c>
      <c r="L32" s="3230" t="s">
        <v>2984</v>
      </c>
      <c r="M32" s="3230" t="s">
        <v>2985</v>
      </c>
      <c r="N32" s="3230" t="s">
        <v>300</v>
      </c>
      <c r="O32" s="3230" t="s">
        <v>2986</v>
      </c>
      <c r="P32" s="3230" t="s">
        <v>299</v>
      </c>
      <c r="Q32" s="3230" t="s">
        <v>2987</v>
      </c>
      <c r="R32" s="3237" t="s">
        <v>2988</v>
      </c>
    </row>
    <row r="33" spans="1:17" ht="14.25" customHeight="1" thickBot="1">
      <c r="A33" s="3230" t="s">
        <v>296</v>
      </c>
      <c r="B33" s="3231" t="s">
        <v>147</v>
      </c>
      <c r="C33" s="3230">
        <v>27300</v>
      </c>
      <c r="D33" s="3230">
        <v>22980</v>
      </c>
      <c r="E33" s="3230">
        <v>24260</v>
      </c>
      <c r="F33" s="3230">
        <v>5860</v>
      </c>
      <c r="G33" s="3243">
        <v>16090</v>
      </c>
      <c r="L33" s="3237" t="s">
        <v>2989</v>
      </c>
      <c r="M33" s="3230" t="s">
        <v>2990</v>
      </c>
      <c r="N33" s="3230" t="s">
        <v>301</v>
      </c>
      <c r="O33" s="3230" t="s">
        <v>2991</v>
      </c>
      <c r="P33" s="3230" t="s">
        <v>2992</v>
      </c>
      <c r="Q33" s="3230" t="s">
        <v>2993</v>
      </c>
    </row>
    <row r="34" spans="1:17" ht="14.25" customHeight="1">
      <c r="A34" s="3230" t="s">
        <v>296</v>
      </c>
      <c r="B34" s="3231" t="s">
        <v>156</v>
      </c>
      <c r="C34" s="3230">
        <v>23090</v>
      </c>
      <c r="D34" s="3230">
        <v>23390</v>
      </c>
      <c r="E34" s="3230">
        <v>23510</v>
      </c>
      <c r="F34" s="3230">
        <v>6700</v>
      </c>
      <c r="G34" s="3243">
        <v>16370</v>
      </c>
      <c r="M34" s="3230" t="s">
        <v>2994</v>
      </c>
      <c r="N34" s="3230" t="s">
        <v>302</v>
      </c>
      <c r="O34" s="3230" t="s">
        <v>2995</v>
      </c>
      <c r="P34" s="3230" t="s">
        <v>2996</v>
      </c>
      <c r="Q34" s="3230" t="s">
        <v>2997</v>
      </c>
    </row>
    <row r="35" spans="1:17" ht="14.25" customHeight="1">
      <c r="A35" s="3230" t="s">
        <v>296</v>
      </c>
      <c r="B35" s="3231" t="s">
        <v>163</v>
      </c>
      <c r="C35" s="3230">
        <v>27270</v>
      </c>
      <c r="D35" s="3230">
        <v>24270</v>
      </c>
      <c r="E35" s="3230">
        <v>24950</v>
      </c>
      <c r="F35" s="3230">
        <v>6600</v>
      </c>
      <c r="G35" s="3243">
        <v>16990</v>
      </c>
      <c r="M35" s="3230" t="s">
        <v>2998</v>
      </c>
      <c r="N35" s="3230" t="s">
        <v>2999</v>
      </c>
      <c r="O35" s="3230" t="s">
        <v>3000</v>
      </c>
      <c r="P35" s="3230" t="s">
        <v>3001</v>
      </c>
      <c r="Q35" s="3230" t="s">
        <v>3002</v>
      </c>
    </row>
    <row r="36" spans="1:17" ht="14.25" customHeight="1">
      <c r="A36" s="3230" t="s">
        <v>296</v>
      </c>
      <c r="B36" s="3231" t="s">
        <v>169</v>
      </c>
      <c r="C36" s="3230">
        <v>23490</v>
      </c>
      <c r="D36" s="3230">
        <v>23020</v>
      </c>
      <c r="E36" s="3230">
        <v>25230</v>
      </c>
      <c r="F36" s="3230">
        <v>6780</v>
      </c>
      <c r="G36" s="3243">
        <v>16120</v>
      </c>
      <c r="M36" s="3230" t="s">
        <v>3003</v>
      </c>
      <c r="N36" s="3230" t="s">
        <v>3004</v>
      </c>
      <c r="O36" s="3230" t="s">
        <v>3005</v>
      </c>
      <c r="P36" s="3230" t="s">
        <v>3006</v>
      </c>
      <c r="Q36" s="3230" t="s">
        <v>3007</v>
      </c>
    </row>
    <row r="37" spans="1:17" ht="14.25" customHeight="1">
      <c r="A37" s="3230" t="s">
        <v>296</v>
      </c>
      <c r="B37" s="3231" t="s">
        <v>176</v>
      </c>
      <c r="C37" s="3230">
        <v>24380</v>
      </c>
      <c r="D37" s="3230">
        <v>22240</v>
      </c>
      <c r="E37" s="3230">
        <v>25980</v>
      </c>
      <c r="F37" s="3230">
        <v>8160</v>
      </c>
      <c r="G37" s="3243">
        <v>15570</v>
      </c>
      <c r="M37" s="3230" t="s">
        <v>3008</v>
      </c>
      <c r="N37" s="3230" t="s">
        <v>3009</v>
      </c>
      <c r="O37" s="3230" t="s">
        <v>3010</v>
      </c>
      <c r="P37" s="3230" t="s">
        <v>3011</v>
      </c>
      <c r="Q37" s="3230" t="s">
        <v>3012</v>
      </c>
    </row>
    <row r="38" spans="1:17" ht="14.25" customHeight="1">
      <c r="A38" s="3230" t="s">
        <v>296</v>
      </c>
      <c r="B38" s="3231" t="s">
        <v>186</v>
      </c>
      <c r="C38" s="3230">
        <v>23120</v>
      </c>
      <c r="D38" s="3230">
        <v>24630</v>
      </c>
      <c r="E38" s="3230">
        <v>25030</v>
      </c>
      <c r="F38" s="3230">
        <v>7710</v>
      </c>
      <c r="G38" s="3243">
        <v>17240</v>
      </c>
      <c r="M38" s="3230" t="s">
        <v>3013</v>
      </c>
      <c r="N38" s="3230" t="s">
        <v>3014</v>
      </c>
      <c r="O38" s="3230" t="s">
        <v>3015</v>
      </c>
      <c r="P38" s="3230" t="s">
        <v>3016</v>
      </c>
      <c r="Q38" s="3230" t="s">
        <v>3017</v>
      </c>
    </row>
    <row r="39" spans="1:17" ht="14.25" customHeight="1">
      <c r="A39" s="3230" t="s">
        <v>296</v>
      </c>
      <c r="B39" s="3231" t="s">
        <v>195</v>
      </c>
      <c r="C39" s="3230">
        <v>22330</v>
      </c>
      <c r="D39" s="3230">
        <v>21140</v>
      </c>
      <c r="E39" s="3230">
        <v>23970</v>
      </c>
      <c r="F39" s="3230">
        <v>7940</v>
      </c>
      <c r="G39" s="3243">
        <v>14790</v>
      </c>
      <c r="M39" s="3230" t="s">
        <v>3018</v>
      </c>
      <c r="N39" s="3230" t="s">
        <v>3019</v>
      </c>
      <c r="O39" s="3230" t="s">
        <v>3020</v>
      </c>
      <c r="P39" s="3230" t="s">
        <v>3021</v>
      </c>
      <c r="Q39" s="3230" t="s">
        <v>3022</v>
      </c>
    </row>
    <row r="40" spans="1:17" ht="14.25" customHeight="1">
      <c r="A40" s="3230" t="s">
        <v>296</v>
      </c>
      <c r="B40" s="3231" t="s">
        <v>202</v>
      </c>
      <c r="C40" s="3230">
        <v>24740</v>
      </c>
      <c r="D40" s="3230">
        <v>24690</v>
      </c>
      <c r="E40" s="3230">
        <v>22610</v>
      </c>
      <c r="F40" s="3230"/>
      <c r="G40" s="3243">
        <v>17280</v>
      </c>
      <c r="M40" s="3230" t="s">
        <v>3023</v>
      </c>
      <c r="N40" s="3230" t="s">
        <v>3024</v>
      </c>
      <c r="O40" s="3230" t="s">
        <v>3025</v>
      </c>
      <c r="P40" s="3230" t="s">
        <v>3026</v>
      </c>
      <c r="Q40" s="3230" t="s">
        <v>3027</v>
      </c>
    </row>
    <row r="41" spans="1:17" ht="14.25" customHeight="1" thickBot="1">
      <c r="A41" s="3230" t="s">
        <v>296</v>
      </c>
      <c r="B41" s="3231" t="s">
        <v>209</v>
      </c>
      <c r="C41" s="3230">
        <v>21220</v>
      </c>
      <c r="D41" s="3230">
        <v>21120</v>
      </c>
      <c r="E41" s="3230">
        <v>22590</v>
      </c>
      <c r="F41" s="3230"/>
      <c r="G41" s="3243">
        <v>14780</v>
      </c>
      <c r="M41" s="3237" t="s">
        <v>3028</v>
      </c>
      <c r="N41" s="3230" t="s">
        <v>3029</v>
      </c>
      <c r="O41" s="3230" t="s">
        <v>3030</v>
      </c>
      <c r="P41" s="3230" t="s">
        <v>3031</v>
      </c>
      <c r="Q41" s="3230" t="s">
        <v>3032</v>
      </c>
    </row>
    <row r="42" spans="1:17" ht="14.25" customHeight="1">
      <c r="A42" s="3230" t="s">
        <v>296</v>
      </c>
      <c r="B42" s="3231" t="s">
        <v>215</v>
      </c>
      <c r="C42" s="3230">
        <v>24800</v>
      </c>
      <c r="D42" s="3230">
        <v>22280</v>
      </c>
      <c r="E42" s="3230">
        <v>24350</v>
      </c>
      <c r="F42" s="3230"/>
      <c r="G42" s="3243">
        <v>15590</v>
      </c>
      <c r="N42" s="3230" t="s">
        <v>3033</v>
      </c>
      <c r="O42" s="3230" t="s">
        <v>3034</v>
      </c>
      <c r="P42" s="3230" t="s">
        <v>3035</v>
      </c>
      <c r="Q42" s="3230" t="s">
        <v>3036</v>
      </c>
    </row>
    <row r="43" spans="1:17" ht="14.25" customHeight="1">
      <c r="A43" s="3230" t="s">
        <v>3037</v>
      </c>
      <c r="B43" s="3231" t="s">
        <v>223</v>
      </c>
      <c r="C43" s="3230">
        <v>21210</v>
      </c>
      <c r="D43" s="3230">
        <v>21160</v>
      </c>
      <c r="E43" s="3230">
        <v>22650</v>
      </c>
      <c r="F43" s="3230"/>
      <c r="G43" s="3243">
        <v>14800</v>
      </c>
      <c r="N43" s="3230" t="s">
        <v>3038</v>
      </c>
      <c r="O43" s="3230" t="s">
        <v>3039</v>
      </c>
      <c r="P43" s="3230" t="s">
        <v>3040</v>
      </c>
      <c r="Q43" s="3230" t="s">
        <v>3041</v>
      </c>
    </row>
    <row r="44" spans="1:17" ht="14.25" customHeight="1" thickBot="1">
      <c r="A44" s="3230" t="s">
        <v>296</v>
      </c>
      <c r="B44" s="3231" t="s">
        <v>231</v>
      </c>
      <c r="C44" s="3230">
        <v>22370</v>
      </c>
      <c r="D44" s="3230">
        <v>23140</v>
      </c>
      <c r="E44" s="3230">
        <v>25090</v>
      </c>
      <c r="F44" s="3230"/>
      <c r="G44" s="3243">
        <v>16190</v>
      </c>
      <c r="N44" s="3230" t="s">
        <v>3042</v>
      </c>
      <c r="O44" s="3230" t="s">
        <v>3043</v>
      </c>
      <c r="P44" s="3237" t="s">
        <v>3044</v>
      </c>
      <c r="Q44" s="3230" t="s">
        <v>3045</v>
      </c>
    </row>
    <row r="45" spans="1:17" ht="14.25" customHeight="1" thickBot="1">
      <c r="A45" s="3230" t="s">
        <v>296</v>
      </c>
      <c r="B45" s="3231" t="s">
        <v>236</v>
      </c>
      <c r="C45" s="3230">
        <v>21240</v>
      </c>
      <c r="D45" s="3230">
        <v>27050</v>
      </c>
      <c r="E45" s="3230">
        <v>28000</v>
      </c>
      <c r="F45" s="3230"/>
      <c r="G45" s="3243">
        <v>18940</v>
      </c>
      <c r="N45" s="3230" t="s">
        <v>3046</v>
      </c>
      <c r="O45" s="3237" t="s">
        <v>3047</v>
      </c>
      <c r="Q45" s="3230" t="s">
        <v>3048</v>
      </c>
    </row>
    <row r="46" spans="1:17" ht="14.25" customHeight="1">
      <c r="A46" s="3230" t="s">
        <v>296</v>
      </c>
      <c r="B46" s="3231" t="s">
        <v>245</v>
      </c>
      <c r="C46" s="3230">
        <v>23240</v>
      </c>
      <c r="D46" s="3230">
        <v>23000</v>
      </c>
      <c r="E46" s="3230">
        <v>24980</v>
      </c>
      <c r="F46" s="3230"/>
      <c r="G46" s="3243">
        <v>16100</v>
      </c>
      <c r="N46" s="3230" t="s">
        <v>3049</v>
      </c>
      <c r="Q46" s="3230" t="s">
        <v>3050</v>
      </c>
    </row>
    <row r="47" spans="1:17" ht="14.25" customHeight="1">
      <c r="A47" s="3230" t="s">
        <v>296</v>
      </c>
      <c r="B47" s="3231" t="s">
        <v>252</v>
      </c>
      <c r="C47" s="3230">
        <v>27150</v>
      </c>
      <c r="D47" s="3230">
        <v>23310</v>
      </c>
      <c r="E47" s="3230">
        <v>25150</v>
      </c>
      <c r="F47" s="3230"/>
      <c r="G47" s="3243">
        <v>16310</v>
      </c>
      <c r="N47" s="3230" t="s">
        <v>3051</v>
      </c>
      <c r="Q47" s="3230" t="s">
        <v>3052</v>
      </c>
    </row>
    <row r="48" spans="1:17" ht="14.25" customHeight="1">
      <c r="A48" s="3230" t="s">
        <v>296</v>
      </c>
      <c r="B48" s="3231" t="s">
        <v>260</v>
      </c>
      <c r="C48" s="3230">
        <v>23100</v>
      </c>
      <c r="D48" s="3230">
        <v>21110</v>
      </c>
      <c r="E48" s="3230">
        <v>23080</v>
      </c>
      <c r="F48" s="3230"/>
      <c r="G48" s="3243">
        <v>14780</v>
      </c>
      <c r="N48" s="3230" t="s">
        <v>3053</v>
      </c>
      <c r="Q48" s="3230" t="s">
        <v>3054</v>
      </c>
    </row>
    <row r="49" spans="1:17" ht="14.25" customHeight="1">
      <c r="A49" s="3230" t="s">
        <v>296</v>
      </c>
      <c r="B49" s="3231" t="s">
        <v>267</v>
      </c>
      <c r="C49" s="3230">
        <v>23400</v>
      </c>
      <c r="D49" s="3230">
        <v>22920</v>
      </c>
      <c r="E49" s="3230">
        <v>24900</v>
      </c>
      <c r="F49" s="3230"/>
      <c r="G49" s="3243">
        <v>16040</v>
      </c>
      <c r="N49" s="3230" t="s">
        <v>3055</v>
      </c>
      <c r="Q49" s="3230" t="s">
        <v>3056</v>
      </c>
    </row>
    <row r="50" spans="1:17" ht="14.25" customHeight="1">
      <c r="A50" s="3230" t="s">
        <v>296</v>
      </c>
      <c r="B50" s="3231" t="s">
        <v>2933</v>
      </c>
      <c r="C50" s="3230">
        <v>21200</v>
      </c>
      <c r="D50" s="3230">
        <v>26540</v>
      </c>
      <c r="E50" s="3230">
        <v>23200</v>
      </c>
      <c r="F50" s="3230"/>
      <c r="G50" s="3243">
        <v>18580</v>
      </c>
      <c r="N50" s="3230" t="s">
        <v>3057</v>
      </c>
      <c r="Q50" s="3231" t="s">
        <v>3058</v>
      </c>
    </row>
    <row r="51" spans="1:17" ht="14.25" customHeight="1" thickBot="1">
      <c r="A51" s="3230" t="s">
        <v>296</v>
      </c>
      <c r="B51" s="3231" t="s">
        <v>2935</v>
      </c>
      <c r="C51" s="3230">
        <v>23000</v>
      </c>
      <c r="D51" s="3230">
        <v>23460</v>
      </c>
      <c r="E51" s="3230">
        <v>25290</v>
      </c>
      <c r="F51" s="3230"/>
      <c r="G51" s="3243">
        <v>16420</v>
      </c>
      <c r="N51" s="3230" t="s">
        <v>3059</v>
      </c>
      <c r="Q51" s="3237" t="s">
        <v>3060</v>
      </c>
    </row>
    <row r="52" spans="1:17" ht="14.25" customHeight="1">
      <c r="A52" s="3230" t="s">
        <v>296</v>
      </c>
      <c r="B52" s="3231" t="s">
        <v>2939</v>
      </c>
      <c r="C52" s="3230">
        <v>26660</v>
      </c>
      <c r="D52" s="3230">
        <v>22350</v>
      </c>
      <c r="E52" s="3230">
        <v>22920</v>
      </c>
      <c r="F52" s="3230"/>
      <c r="G52" s="3243">
        <v>15640</v>
      </c>
      <c r="N52" s="3230" t="s">
        <v>3061</v>
      </c>
    </row>
    <row r="53" spans="1:17" ht="14.25" customHeight="1">
      <c r="A53" s="3230" t="s">
        <v>296</v>
      </c>
      <c r="B53" s="3231" t="s">
        <v>2944</v>
      </c>
      <c r="C53" s="3230">
        <v>23580</v>
      </c>
      <c r="D53" s="3230"/>
      <c r="E53" s="3230">
        <v>24280</v>
      </c>
      <c r="F53" s="3230"/>
      <c r="G53" s="3243"/>
      <c r="N53" s="3230" t="s">
        <v>3062</v>
      </c>
    </row>
    <row r="54" spans="1:17" ht="14.25" customHeight="1" thickBot="1">
      <c r="A54" s="3244" t="s">
        <v>296</v>
      </c>
      <c r="B54" s="3236" t="s">
        <v>2947</v>
      </c>
      <c r="C54" s="3237">
        <v>22460</v>
      </c>
      <c r="D54" s="3237"/>
      <c r="E54" s="3237"/>
      <c r="F54" s="3237"/>
      <c r="G54" s="3245"/>
      <c r="N54" s="3230" t="s">
        <v>3063</v>
      </c>
    </row>
    <row r="55" spans="1:17" ht="14.25" customHeight="1">
      <c r="A55" s="3235" t="s">
        <v>110</v>
      </c>
      <c r="B55" s="3226" t="s">
        <v>3064</v>
      </c>
      <c r="C55" s="3230">
        <v>21970</v>
      </c>
      <c r="D55" s="3230">
        <v>20370</v>
      </c>
      <c r="E55" s="3230">
        <v>20180</v>
      </c>
      <c r="F55" s="3230">
        <v>5730</v>
      </c>
      <c r="G55" s="3230">
        <v>13820</v>
      </c>
      <c r="N55" s="3230" t="s">
        <v>3065</v>
      </c>
    </row>
    <row r="56" spans="1:17" ht="14.25" customHeight="1">
      <c r="A56" s="3230" t="s">
        <v>110</v>
      </c>
      <c r="B56" s="3230" t="s">
        <v>130</v>
      </c>
      <c r="C56" s="3230">
        <v>20470</v>
      </c>
      <c r="D56" s="3230">
        <v>20700</v>
      </c>
      <c r="E56" s="3230">
        <v>20380</v>
      </c>
      <c r="F56" s="3230">
        <v>4760</v>
      </c>
      <c r="G56" s="3230">
        <v>14050</v>
      </c>
      <c r="N56" s="3230" t="s">
        <v>3066</v>
      </c>
    </row>
    <row r="57" spans="1:17" ht="14.25" customHeight="1">
      <c r="A57" s="3230" t="s">
        <v>110</v>
      </c>
      <c r="B57" s="3230" t="s">
        <v>139</v>
      </c>
      <c r="C57" s="3230">
        <v>20790</v>
      </c>
      <c r="D57" s="3230">
        <v>21370</v>
      </c>
      <c r="E57" s="3230">
        <v>20890</v>
      </c>
      <c r="F57" s="3230">
        <v>4910</v>
      </c>
      <c r="G57" s="3230">
        <v>14510</v>
      </c>
      <c r="N57" s="3230" t="s">
        <v>3067</v>
      </c>
    </row>
    <row r="58" spans="1:17" ht="14.25" customHeight="1">
      <c r="A58" s="3230" t="s">
        <v>110</v>
      </c>
      <c r="B58" s="3230" t="s">
        <v>148</v>
      </c>
      <c r="C58" s="3230">
        <v>21460</v>
      </c>
      <c r="D58" s="3230">
        <v>20920</v>
      </c>
      <c r="E58" s="3230">
        <v>23410</v>
      </c>
      <c r="F58" s="3230">
        <v>5100</v>
      </c>
      <c r="G58" s="3230">
        <v>14200</v>
      </c>
      <c r="N58" s="3230" t="s">
        <v>3068</v>
      </c>
    </row>
    <row r="59" spans="1:17" ht="14.25" customHeight="1">
      <c r="A59" s="3230" t="s">
        <v>110</v>
      </c>
      <c r="B59" s="3230" t="s">
        <v>157</v>
      </c>
      <c r="C59" s="3230">
        <v>21000</v>
      </c>
      <c r="D59" s="3230">
        <v>21550</v>
      </c>
      <c r="E59" s="3230">
        <v>21150</v>
      </c>
      <c r="F59" s="3230">
        <v>5250</v>
      </c>
      <c r="G59" s="3230">
        <v>14630</v>
      </c>
      <c r="N59" s="3230" t="s">
        <v>3069</v>
      </c>
    </row>
    <row r="60" spans="1:17" ht="14.25" customHeight="1">
      <c r="A60" s="3230" t="s">
        <v>110</v>
      </c>
      <c r="B60" s="3230" t="s">
        <v>164</v>
      </c>
      <c r="C60" s="3230">
        <v>21640</v>
      </c>
      <c r="D60" s="3230">
        <v>21260</v>
      </c>
      <c r="E60" s="3230">
        <v>24040</v>
      </c>
      <c r="F60" s="3230">
        <v>4470</v>
      </c>
      <c r="G60" s="3230">
        <v>14430</v>
      </c>
      <c r="N60" s="3230" t="s">
        <v>3070</v>
      </c>
    </row>
    <row r="61" spans="1:17" ht="14.25" customHeight="1">
      <c r="A61" s="3230" t="s">
        <v>110</v>
      </c>
      <c r="B61" s="3230" t="s">
        <v>170</v>
      </c>
      <c r="C61" s="3230">
        <v>21330</v>
      </c>
      <c r="D61" s="3230">
        <v>18640</v>
      </c>
      <c r="E61" s="3230">
        <v>21190</v>
      </c>
      <c r="F61" s="3230">
        <v>4180</v>
      </c>
      <c r="G61" s="3230">
        <v>12650</v>
      </c>
      <c r="N61" s="3230" t="s">
        <v>3071</v>
      </c>
    </row>
    <row r="62" spans="1:17" ht="14.25" customHeight="1">
      <c r="A62" s="3230" t="s">
        <v>110</v>
      </c>
      <c r="B62" s="3230" t="s">
        <v>177</v>
      </c>
      <c r="C62" s="3230">
        <v>18710</v>
      </c>
      <c r="D62" s="3230">
        <v>19400</v>
      </c>
      <c r="E62" s="3230">
        <v>23750</v>
      </c>
      <c r="F62" s="3230">
        <v>4860</v>
      </c>
      <c r="G62" s="3230">
        <v>13170</v>
      </c>
      <c r="N62" s="3230" t="s">
        <v>3072</v>
      </c>
    </row>
    <row r="63" spans="1:17" ht="14.25" customHeight="1">
      <c r="A63" s="3230" t="s">
        <v>110</v>
      </c>
      <c r="B63" s="3230" t="s">
        <v>187</v>
      </c>
      <c r="C63" s="3230">
        <v>19480</v>
      </c>
      <c r="D63" s="3230">
        <v>16830</v>
      </c>
      <c r="E63" s="3230">
        <v>21590</v>
      </c>
      <c r="F63" s="3230">
        <v>4560</v>
      </c>
      <c r="G63" s="3230">
        <v>11420</v>
      </c>
      <c r="N63" s="3230" t="s">
        <v>3073</v>
      </c>
    </row>
    <row r="64" spans="1:17" ht="14.25" customHeight="1" thickBot="1">
      <c r="A64" s="3230" t="s">
        <v>110</v>
      </c>
      <c r="B64" s="3230" t="s">
        <v>196</v>
      </c>
      <c r="C64" s="3230">
        <v>16920</v>
      </c>
      <c r="D64" s="3230">
        <v>19190</v>
      </c>
      <c r="E64" s="3230">
        <v>22200</v>
      </c>
      <c r="F64" s="3230">
        <v>4390</v>
      </c>
      <c r="G64" s="3230">
        <v>13030</v>
      </c>
      <c r="N64" s="3237" t="s">
        <v>3074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2945</v>
      </c>
      <c r="C78" s="3230">
        <v>19820</v>
      </c>
      <c r="D78" s="3230">
        <v>19780</v>
      </c>
      <c r="E78" s="3230">
        <v>18560</v>
      </c>
      <c r="F78" s="3230"/>
      <c r="G78" s="3230">
        <v>13430</v>
      </c>
    </row>
    <row r="79" spans="1:7" s="3219" customFormat="1" ht="14.25" customHeight="1">
      <c r="A79" s="3230" t="s">
        <v>110</v>
      </c>
      <c r="B79" s="3230" t="s">
        <v>2948</v>
      </c>
      <c r="C79" s="3230">
        <v>21660</v>
      </c>
      <c r="D79" s="3230">
        <v>18000</v>
      </c>
      <c r="E79" s="3230">
        <v>22570</v>
      </c>
      <c r="F79" s="3230"/>
      <c r="G79" s="3230">
        <v>12220</v>
      </c>
    </row>
    <row r="80" spans="1:7" s="3219" customFormat="1" ht="14.25" customHeight="1">
      <c r="A80" s="3230" t="s">
        <v>110</v>
      </c>
      <c r="B80" s="3230" t="s">
        <v>2952</v>
      </c>
      <c r="C80" s="3230">
        <v>19850</v>
      </c>
      <c r="D80" s="3230"/>
      <c r="E80" s="3230">
        <v>21700</v>
      </c>
      <c r="F80" s="3230"/>
      <c r="G80" s="3230"/>
    </row>
    <row r="81" spans="1:7" s="3219" customFormat="1" ht="14.25" customHeight="1">
      <c r="A81" s="3230" t="s">
        <v>110</v>
      </c>
      <c r="B81" s="3230" t="s">
        <v>2957</v>
      </c>
      <c r="C81" s="3230">
        <v>18080</v>
      </c>
      <c r="D81" s="3230"/>
      <c r="E81" s="3230">
        <v>20900</v>
      </c>
      <c r="F81" s="3230"/>
      <c r="G81" s="3230"/>
    </row>
    <row r="82" spans="1:7" s="3219" customFormat="1" ht="14.25" customHeight="1">
      <c r="A82" s="3230" t="s">
        <v>110</v>
      </c>
      <c r="B82" s="3230" t="s">
        <v>2964</v>
      </c>
      <c r="C82" s="3230"/>
      <c r="D82" s="3230"/>
      <c r="E82" s="3230">
        <v>20840</v>
      </c>
      <c r="F82" s="3230"/>
      <c r="G82" s="3230"/>
    </row>
    <row r="83" spans="1:7" s="3219" customFormat="1" ht="14.25" customHeight="1">
      <c r="A83" s="3230" t="s">
        <v>110</v>
      </c>
      <c r="B83" s="3230" t="s">
        <v>3075</v>
      </c>
      <c r="C83" s="3230"/>
      <c r="D83" s="3230"/>
      <c r="E83" s="3230"/>
      <c r="F83" s="3230">
        <v>4770</v>
      </c>
      <c r="G83" s="3230"/>
    </row>
    <row r="84" spans="1:7" s="3219" customFormat="1" ht="14.25" customHeight="1">
      <c r="A84" s="3230" t="s">
        <v>110</v>
      </c>
      <c r="B84" s="3230" t="s">
        <v>3076</v>
      </c>
      <c r="C84" s="3230"/>
      <c r="D84" s="3230"/>
      <c r="E84" s="3230"/>
      <c r="F84" s="3230">
        <v>4600</v>
      </c>
      <c r="G84" s="3230"/>
    </row>
    <row r="85" spans="1:7" s="3219" customFormat="1" ht="14.25" customHeight="1">
      <c r="A85" s="3230" t="s">
        <v>110</v>
      </c>
      <c r="B85" s="3230" t="s">
        <v>3077</v>
      </c>
      <c r="C85" s="3230"/>
      <c r="D85" s="3230"/>
      <c r="E85" s="3230"/>
      <c r="F85" s="3230">
        <v>4680</v>
      </c>
      <c r="G85" s="3230"/>
    </row>
    <row r="86" spans="1:7" s="3219" customFormat="1" ht="14.25" customHeight="1" thickBot="1">
      <c r="A86" s="3238" t="s">
        <v>110</v>
      </c>
      <c r="B86" s="3240" t="s">
        <v>3078</v>
      </c>
      <c r="C86" s="3241">
        <v>16610</v>
      </c>
      <c r="D86" s="3241">
        <v>16540</v>
      </c>
      <c r="E86" s="3241">
        <v>18850</v>
      </c>
      <c r="F86" s="3241"/>
      <c r="G86" s="3241">
        <v>11220</v>
      </c>
    </row>
    <row r="87" spans="1:7" s="3219" customFormat="1" ht="14.25" customHeight="1">
      <c r="A87" s="3235" t="s">
        <v>303</v>
      </c>
      <c r="B87" s="3226" t="s">
        <v>3079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2958</v>
      </c>
      <c r="C113" s="3230">
        <v>15520</v>
      </c>
      <c r="D113" s="3230">
        <v>15450</v>
      </c>
      <c r="E113" s="3230"/>
      <c r="F113" s="3230"/>
      <c r="G113" s="3243">
        <v>10210</v>
      </c>
    </row>
    <row r="114" spans="1:7" s="3219" customFormat="1" ht="14.25" customHeight="1">
      <c r="A114" s="3230" t="s">
        <v>303</v>
      </c>
      <c r="B114" s="3230" t="s">
        <v>2965</v>
      </c>
      <c r="C114" s="3230">
        <v>13110</v>
      </c>
      <c r="D114" s="3230">
        <v>13050</v>
      </c>
      <c r="E114" s="3230"/>
      <c r="F114" s="3230"/>
      <c r="G114" s="3243">
        <v>8620</v>
      </c>
    </row>
    <row r="115" spans="1:7" s="3219" customFormat="1" ht="14.25" customHeight="1">
      <c r="A115" s="3230" t="s">
        <v>303</v>
      </c>
      <c r="B115" s="3230" t="s">
        <v>2971</v>
      </c>
      <c r="C115" s="3230">
        <v>12460</v>
      </c>
      <c r="D115" s="3230">
        <v>12390</v>
      </c>
      <c r="E115" s="3230"/>
      <c r="F115" s="3230"/>
      <c r="G115" s="3243">
        <v>8190</v>
      </c>
    </row>
    <row r="116" spans="1:7" s="3219" customFormat="1" ht="14.25" customHeight="1">
      <c r="A116" s="3230" t="s">
        <v>303</v>
      </c>
      <c r="B116" s="3230" t="s">
        <v>2978</v>
      </c>
      <c r="C116" s="3230">
        <v>13580</v>
      </c>
      <c r="D116" s="3230">
        <v>13520</v>
      </c>
      <c r="E116" s="3230"/>
      <c r="F116" s="3230"/>
      <c r="G116" s="3243">
        <v>8930</v>
      </c>
    </row>
    <row r="117" spans="1:7" s="3219" customFormat="1" ht="14.25" customHeight="1">
      <c r="A117" s="3230" t="s">
        <v>303</v>
      </c>
      <c r="B117" s="3230" t="s">
        <v>2985</v>
      </c>
      <c r="C117" s="3230">
        <v>17120</v>
      </c>
      <c r="D117" s="3230">
        <v>17040</v>
      </c>
      <c r="E117" s="3230"/>
      <c r="F117" s="3230"/>
      <c r="G117" s="3243">
        <v>11260</v>
      </c>
    </row>
    <row r="118" spans="1:7" s="3219" customFormat="1" ht="14.25" customHeight="1">
      <c r="A118" s="3230" t="s">
        <v>303</v>
      </c>
      <c r="B118" s="3230" t="s">
        <v>2990</v>
      </c>
      <c r="C118" s="3230">
        <v>14860</v>
      </c>
      <c r="D118" s="3230">
        <v>14790</v>
      </c>
      <c r="E118" s="3230"/>
      <c r="F118" s="3230"/>
      <c r="G118" s="3243">
        <v>9780</v>
      </c>
    </row>
    <row r="119" spans="1:7" s="3219" customFormat="1" ht="14.25" customHeight="1">
      <c r="A119" s="3230" t="s">
        <v>303</v>
      </c>
      <c r="B119" s="3230" t="s">
        <v>2994</v>
      </c>
      <c r="C119" s="3230">
        <v>16470</v>
      </c>
      <c r="D119" s="3230">
        <v>16400</v>
      </c>
      <c r="E119" s="3230"/>
      <c r="F119" s="3230"/>
      <c r="G119" s="3243">
        <v>10840</v>
      </c>
    </row>
    <row r="120" spans="1:7" s="3219" customFormat="1" ht="14.25" customHeight="1">
      <c r="A120" s="3230" t="s">
        <v>303</v>
      </c>
      <c r="B120" s="3230" t="s">
        <v>3080</v>
      </c>
      <c r="C120" s="3230"/>
      <c r="D120" s="3230"/>
      <c r="E120" s="3230"/>
      <c r="F120" s="3230">
        <v>4160</v>
      </c>
      <c r="G120" s="3243"/>
    </row>
    <row r="121" spans="1:7" s="3219" customFormat="1" ht="14.25" customHeight="1">
      <c r="A121" s="3230" t="s">
        <v>303</v>
      </c>
      <c r="B121" s="3230" t="s">
        <v>3081</v>
      </c>
      <c r="C121" s="3230"/>
      <c r="D121" s="3230"/>
      <c r="E121" s="3230"/>
      <c r="F121" s="3230">
        <v>3880</v>
      </c>
      <c r="G121" s="3243"/>
    </row>
    <row r="122" spans="1:7" s="3219" customFormat="1" ht="14.25" customHeight="1">
      <c r="A122" s="3230" t="s">
        <v>303</v>
      </c>
      <c r="B122" s="3230" t="s">
        <v>3082</v>
      </c>
      <c r="C122" s="3230">
        <v>13750</v>
      </c>
      <c r="D122" s="3230">
        <v>13680</v>
      </c>
      <c r="E122" s="3230">
        <v>16460</v>
      </c>
      <c r="F122" s="3230">
        <v>2880</v>
      </c>
      <c r="G122" s="3243">
        <v>9040</v>
      </c>
    </row>
    <row r="123" spans="1:7" s="3219" customFormat="1" ht="14.25" customHeight="1">
      <c r="A123" s="3230" t="s">
        <v>303</v>
      </c>
      <c r="B123" s="3230" t="s">
        <v>3013</v>
      </c>
      <c r="C123" s="3230">
        <v>13590</v>
      </c>
      <c r="D123" s="3230">
        <v>13520</v>
      </c>
      <c r="E123" s="3230">
        <v>16290</v>
      </c>
      <c r="F123" s="3230">
        <v>2790</v>
      </c>
      <c r="G123" s="3243">
        <v>8930</v>
      </c>
    </row>
    <row r="124" spans="1:7" s="3219" customFormat="1" ht="14.25" customHeight="1">
      <c r="A124" s="3230" t="s">
        <v>303</v>
      </c>
      <c r="B124" s="3230" t="s">
        <v>3018</v>
      </c>
      <c r="C124" s="3230">
        <v>13400</v>
      </c>
      <c r="D124" s="3230">
        <v>13320</v>
      </c>
      <c r="E124" s="3230">
        <v>16100</v>
      </c>
      <c r="F124" s="3230">
        <v>2320</v>
      </c>
      <c r="G124" s="3243">
        <v>8800</v>
      </c>
    </row>
    <row r="125" spans="1:7" s="3219" customFormat="1" ht="14.25" customHeight="1">
      <c r="A125" s="3230" t="s">
        <v>303</v>
      </c>
      <c r="B125" s="3230" t="s">
        <v>3023</v>
      </c>
      <c r="C125" s="3230">
        <v>12860</v>
      </c>
      <c r="D125" s="3230">
        <v>12790</v>
      </c>
      <c r="E125" s="3230">
        <v>15370</v>
      </c>
      <c r="F125" s="3230">
        <v>2280</v>
      </c>
      <c r="G125" s="3243">
        <v>8450</v>
      </c>
    </row>
    <row r="126" spans="1:7" s="3219" customFormat="1" ht="14.25" customHeight="1" thickBot="1">
      <c r="A126" s="3244" t="s">
        <v>303</v>
      </c>
      <c r="B126" s="3237" t="s">
        <v>3028</v>
      </c>
      <c r="C126" s="3237">
        <v>12960</v>
      </c>
      <c r="D126" s="3237">
        <v>12890</v>
      </c>
      <c r="E126" s="3237">
        <v>15530</v>
      </c>
      <c r="F126" s="3237">
        <v>2910</v>
      </c>
      <c r="G126" s="3245">
        <v>8520</v>
      </c>
    </row>
    <row r="127" spans="1:7" s="3219" customFormat="1" ht="14.25" customHeight="1">
      <c r="A127" s="3235" t="s">
        <v>29</v>
      </c>
      <c r="B127" s="3226" t="s">
        <v>3083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3084</v>
      </c>
      <c r="C148" s="3230">
        <v>10370</v>
      </c>
      <c r="D148" s="3230">
        <v>10310</v>
      </c>
      <c r="E148" s="3230">
        <v>12970</v>
      </c>
      <c r="F148" s="3230"/>
      <c r="G148" s="3230">
        <v>6630</v>
      </c>
    </row>
    <row r="149" spans="1:7" s="3219" customFormat="1" ht="14.25" customHeight="1">
      <c r="A149" s="3230" t="s">
        <v>29</v>
      </c>
      <c r="B149" s="3230" t="s">
        <v>3085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2959</v>
      </c>
      <c r="C153" s="3230">
        <v>10880</v>
      </c>
      <c r="D153" s="3230">
        <v>10820</v>
      </c>
      <c r="E153" s="3230">
        <v>13660</v>
      </c>
      <c r="F153" s="3230">
        <v>2260</v>
      </c>
      <c r="G153" s="3230">
        <v>6970</v>
      </c>
    </row>
    <row r="154" spans="1:7" s="3219" customFormat="1" ht="14.25" customHeight="1">
      <c r="A154" s="3230" t="s">
        <v>29</v>
      </c>
      <c r="B154" s="3230" t="s">
        <v>3086</v>
      </c>
      <c r="C154" s="3230">
        <v>11220</v>
      </c>
      <c r="D154" s="3230">
        <v>11160</v>
      </c>
      <c r="E154" s="3230">
        <v>14130</v>
      </c>
      <c r="F154" s="3230">
        <v>2230</v>
      </c>
      <c r="G154" s="3230">
        <v>7180</v>
      </c>
    </row>
    <row r="155" spans="1:7" s="3219" customFormat="1" ht="14.25" customHeight="1">
      <c r="A155" s="3230" t="s">
        <v>29</v>
      </c>
      <c r="B155" s="3230" t="s">
        <v>2972</v>
      </c>
      <c r="C155" s="3230">
        <v>10430</v>
      </c>
      <c r="D155" s="3230">
        <v>10380</v>
      </c>
      <c r="E155" s="3230">
        <v>13140</v>
      </c>
      <c r="F155" s="3230">
        <v>2080</v>
      </c>
      <c r="G155" s="3230">
        <v>6650</v>
      </c>
    </row>
    <row r="156" spans="1:7" s="3219" customFormat="1" ht="14.25" customHeight="1">
      <c r="A156" s="3230" t="s">
        <v>29</v>
      </c>
      <c r="B156" s="3230" t="s">
        <v>3087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3088</v>
      </c>
      <c r="C160" s="3230">
        <v>11180</v>
      </c>
      <c r="D160" s="3230">
        <v>11140</v>
      </c>
      <c r="E160" s="3230">
        <v>14050</v>
      </c>
      <c r="F160" s="3230">
        <v>2270</v>
      </c>
      <c r="G160" s="3230">
        <v>7170</v>
      </c>
    </row>
    <row r="161" spans="1:7" s="3219" customFormat="1" ht="14.25" customHeight="1">
      <c r="A161" s="3230" t="s">
        <v>29</v>
      </c>
      <c r="B161" s="3230" t="s">
        <v>3004</v>
      </c>
      <c r="C161" s="3230">
        <v>11160</v>
      </c>
      <c r="D161" s="3230">
        <v>11120</v>
      </c>
      <c r="E161" s="3230">
        <v>14020</v>
      </c>
      <c r="F161" s="3230">
        <v>2150</v>
      </c>
      <c r="G161" s="3230">
        <v>7160</v>
      </c>
    </row>
    <row r="162" spans="1:7" s="3219" customFormat="1" ht="14.25" customHeight="1">
      <c r="A162" s="3230" t="s">
        <v>29</v>
      </c>
      <c r="B162" s="3230" t="s">
        <v>3009</v>
      </c>
      <c r="C162" s="3230">
        <v>9620</v>
      </c>
      <c r="D162" s="3230">
        <v>9570</v>
      </c>
      <c r="E162" s="3230">
        <v>12320</v>
      </c>
      <c r="F162" s="3230">
        <v>2010</v>
      </c>
      <c r="G162" s="3230">
        <v>6160</v>
      </c>
    </row>
    <row r="163" spans="1:7" s="3219" customFormat="1" ht="14.25" customHeight="1">
      <c r="A163" s="3230" t="s">
        <v>29</v>
      </c>
      <c r="B163" s="3230" t="s">
        <v>3014</v>
      </c>
      <c r="C163" s="3230">
        <v>9320</v>
      </c>
      <c r="D163" s="3230">
        <v>9270</v>
      </c>
      <c r="E163" s="3230">
        <v>11790</v>
      </c>
      <c r="F163" s="3230">
        <v>1920</v>
      </c>
      <c r="G163" s="3230">
        <v>5960</v>
      </c>
    </row>
    <row r="164" spans="1:7" s="3219" customFormat="1" ht="14.25" customHeight="1">
      <c r="A164" s="3230" t="s">
        <v>29</v>
      </c>
      <c r="B164" s="3230" t="s">
        <v>3019</v>
      </c>
      <c r="C164" s="3230"/>
      <c r="D164" s="3230"/>
      <c r="E164" s="3230"/>
      <c r="F164" s="3230">
        <v>1980</v>
      </c>
      <c r="G164" s="3230"/>
    </row>
    <row r="165" spans="1:7" s="3219" customFormat="1" ht="14.25" customHeight="1">
      <c r="A165" s="3230" t="s">
        <v>29</v>
      </c>
      <c r="B165" s="3230" t="s">
        <v>3089</v>
      </c>
      <c r="C165" s="3230">
        <v>11060</v>
      </c>
      <c r="D165" s="3230">
        <v>11030</v>
      </c>
      <c r="E165" s="3230">
        <v>13850</v>
      </c>
      <c r="F165" s="3230">
        <v>2170</v>
      </c>
      <c r="G165" s="3230">
        <v>7090</v>
      </c>
    </row>
    <row r="166" spans="1:7" s="3219" customFormat="1" ht="14.25" customHeight="1">
      <c r="A166" s="3230" t="s">
        <v>29</v>
      </c>
      <c r="B166" s="3230" t="s">
        <v>3029</v>
      </c>
      <c r="C166" s="3230">
        <v>11050</v>
      </c>
      <c r="D166" s="3230">
        <v>11010</v>
      </c>
      <c r="E166" s="3230">
        <v>13920</v>
      </c>
      <c r="F166" s="3230">
        <v>2140</v>
      </c>
      <c r="G166" s="3230">
        <v>7080</v>
      </c>
    </row>
    <row r="167" spans="1:7" s="3219" customFormat="1" ht="14.25" customHeight="1">
      <c r="A167" s="3230" t="s">
        <v>29</v>
      </c>
      <c r="B167" s="3230" t="s">
        <v>3033</v>
      </c>
      <c r="C167" s="3230">
        <v>10930</v>
      </c>
      <c r="D167" s="3230">
        <v>10890</v>
      </c>
      <c r="E167" s="3230">
        <v>13790</v>
      </c>
      <c r="F167" s="3230">
        <v>2010</v>
      </c>
      <c r="G167" s="3230">
        <v>7000</v>
      </c>
    </row>
    <row r="168" spans="1:7" s="3219" customFormat="1" ht="14.25" customHeight="1">
      <c r="A168" s="3230" t="s">
        <v>29</v>
      </c>
      <c r="B168" s="3230" t="s">
        <v>3038</v>
      </c>
      <c r="C168" s="3230">
        <v>9420</v>
      </c>
      <c r="D168" s="3230">
        <v>9380</v>
      </c>
      <c r="E168" s="3230">
        <v>11970</v>
      </c>
      <c r="F168" s="3230"/>
      <c r="G168" s="3230">
        <v>6040</v>
      </c>
    </row>
    <row r="169" spans="1:7" s="3219" customFormat="1" ht="14.25" customHeight="1">
      <c r="A169" s="3230" t="s">
        <v>29</v>
      </c>
      <c r="B169" s="3230" t="s">
        <v>3090</v>
      </c>
      <c r="C169" s="3230"/>
      <c r="D169" s="3230"/>
      <c r="E169" s="3230"/>
      <c r="F169" s="3230">
        <v>2880</v>
      </c>
      <c r="G169" s="3230"/>
    </row>
    <row r="170" spans="1:7" s="3219" customFormat="1" ht="14.25" customHeight="1">
      <c r="A170" s="3230" t="s">
        <v>29</v>
      </c>
      <c r="B170" s="3230" t="s">
        <v>3046</v>
      </c>
      <c r="C170" s="3230"/>
      <c r="D170" s="3230"/>
      <c r="E170" s="3230"/>
      <c r="F170" s="3230">
        <v>2880</v>
      </c>
      <c r="G170" s="3230"/>
    </row>
    <row r="171" spans="1:7" s="3219" customFormat="1" ht="14.25" customHeight="1">
      <c r="A171" s="3230" t="s">
        <v>29</v>
      </c>
      <c r="B171" s="3230" t="s">
        <v>3049</v>
      </c>
      <c r="C171" s="3230"/>
      <c r="D171" s="3230"/>
      <c r="E171" s="3230"/>
      <c r="F171" s="3230">
        <v>2880</v>
      </c>
      <c r="G171" s="3230"/>
    </row>
    <row r="172" spans="1:7" s="3219" customFormat="1" ht="14.25" customHeight="1">
      <c r="A172" s="3230" t="s">
        <v>29</v>
      </c>
      <c r="B172" s="3230" t="s">
        <v>3051</v>
      </c>
      <c r="C172" s="3230"/>
      <c r="D172" s="3230"/>
      <c r="E172" s="3230"/>
      <c r="F172" s="3230">
        <v>2880</v>
      </c>
      <c r="G172" s="3230"/>
    </row>
    <row r="173" spans="1:7" s="3219" customFormat="1" ht="14.25" customHeight="1">
      <c r="A173" s="3230" t="s">
        <v>29</v>
      </c>
      <c r="B173" s="3230" t="s">
        <v>3053</v>
      </c>
      <c r="C173" s="3230"/>
      <c r="D173" s="3230"/>
      <c r="E173" s="3230"/>
      <c r="F173" s="3230">
        <v>2150</v>
      </c>
      <c r="G173" s="3230"/>
    </row>
    <row r="174" spans="1:7" s="3219" customFormat="1" ht="14.25" customHeight="1">
      <c r="A174" s="3230" t="s">
        <v>29</v>
      </c>
      <c r="B174" s="3230" t="s">
        <v>3055</v>
      </c>
      <c r="C174" s="3230"/>
      <c r="D174" s="3230"/>
      <c r="E174" s="3230"/>
      <c r="F174" s="3230">
        <v>2030</v>
      </c>
      <c r="G174" s="3230"/>
    </row>
    <row r="175" spans="1:7" s="3219" customFormat="1" ht="14.25" customHeight="1">
      <c r="A175" s="3230" t="s">
        <v>29</v>
      </c>
      <c r="B175" s="3230" t="s">
        <v>3057</v>
      </c>
      <c r="C175" s="3230"/>
      <c r="D175" s="3230"/>
      <c r="E175" s="3230"/>
      <c r="F175" s="3230">
        <v>2780</v>
      </c>
      <c r="G175" s="3230"/>
    </row>
    <row r="176" spans="1:7" s="3219" customFormat="1" ht="14.25" customHeight="1">
      <c r="A176" s="3230" t="s">
        <v>29</v>
      </c>
      <c r="B176" s="3230" t="s">
        <v>3059</v>
      </c>
      <c r="C176" s="3230"/>
      <c r="D176" s="3230"/>
      <c r="E176" s="3230"/>
      <c r="F176" s="3230">
        <v>2780</v>
      </c>
      <c r="G176" s="3230"/>
    </row>
    <row r="177" spans="1:7" s="3219" customFormat="1" ht="14.25" customHeight="1">
      <c r="A177" s="3230" t="s">
        <v>29</v>
      </c>
      <c r="B177" s="3230" t="s">
        <v>3091</v>
      </c>
      <c r="C177" s="3230"/>
      <c r="D177" s="3230"/>
      <c r="E177" s="3230"/>
      <c r="F177" s="3230">
        <v>2780</v>
      </c>
      <c r="G177" s="3230"/>
    </row>
    <row r="178" spans="1:7" s="3219" customFormat="1" ht="14.25" customHeight="1">
      <c r="A178" s="3230" t="s">
        <v>29</v>
      </c>
      <c r="B178" s="3230" t="s">
        <v>3092</v>
      </c>
      <c r="C178" s="3230"/>
      <c r="D178" s="3230"/>
      <c r="E178" s="3230"/>
      <c r="F178" s="3230">
        <v>2060</v>
      </c>
      <c r="G178" s="3230"/>
    </row>
    <row r="179" spans="1:7" s="3219" customFormat="1" ht="14.25" customHeight="1">
      <c r="A179" s="3230" t="s">
        <v>29</v>
      </c>
      <c r="B179" s="3230" t="s">
        <v>3093</v>
      </c>
      <c r="C179" s="3230"/>
      <c r="D179" s="3230"/>
      <c r="E179" s="3230"/>
      <c r="F179" s="3230">
        <v>2120</v>
      </c>
      <c r="G179" s="3230"/>
    </row>
    <row r="180" spans="1:7" s="3219" customFormat="1" ht="14.25" customHeight="1">
      <c r="A180" s="3230" t="s">
        <v>29</v>
      </c>
      <c r="B180" s="3230" t="s">
        <v>3065</v>
      </c>
      <c r="C180" s="3230"/>
      <c r="D180" s="3230"/>
      <c r="E180" s="3230"/>
      <c r="F180" s="3230">
        <v>2340</v>
      </c>
      <c r="G180" s="3230"/>
    </row>
    <row r="181" spans="1:7" s="3219" customFormat="1" ht="14.25" customHeight="1">
      <c r="A181" s="3230" t="s">
        <v>29</v>
      </c>
      <c r="B181" s="3230" t="s">
        <v>3066</v>
      </c>
      <c r="C181" s="3230"/>
      <c r="D181" s="3230"/>
      <c r="E181" s="3230"/>
      <c r="F181" s="3230">
        <v>2340</v>
      </c>
      <c r="G181" s="3230"/>
    </row>
    <row r="182" spans="1:7" s="3219" customFormat="1" ht="14.25" customHeight="1">
      <c r="A182" s="3230" t="s">
        <v>29</v>
      </c>
      <c r="B182" s="3230" t="s">
        <v>3067</v>
      </c>
      <c r="C182" s="3230"/>
      <c r="D182" s="3230"/>
      <c r="E182" s="3230"/>
      <c r="F182" s="3230">
        <v>2340</v>
      </c>
      <c r="G182" s="3230"/>
    </row>
    <row r="183" spans="1:7" s="3219" customFormat="1" ht="14.25" customHeight="1">
      <c r="A183" s="3230" t="s">
        <v>29</v>
      </c>
      <c r="B183" s="3230" t="s">
        <v>3068</v>
      </c>
      <c r="C183" s="3230"/>
      <c r="D183" s="3230"/>
      <c r="E183" s="3230"/>
      <c r="F183" s="3230">
        <v>2340</v>
      </c>
      <c r="G183" s="3230"/>
    </row>
    <row r="184" spans="1:7" s="3219" customFormat="1" ht="14.25" customHeight="1">
      <c r="A184" s="3230" t="s">
        <v>29</v>
      </c>
      <c r="B184" s="3230" t="s">
        <v>3069</v>
      </c>
      <c r="C184" s="3230"/>
      <c r="D184" s="3230"/>
      <c r="E184" s="3230"/>
      <c r="F184" s="3230">
        <v>2340</v>
      </c>
      <c r="G184" s="3230"/>
    </row>
    <row r="185" spans="1:7" s="3219" customFormat="1" ht="14.25" customHeight="1">
      <c r="A185" s="3230" t="s">
        <v>29</v>
      </c>
      <c r="B185" s="3230" t="s">
        <v>3070</v>
      </c>
      <c r="C185" s="3230"/>
      <c r="D185" s="3230"/>
      <c r="E185" s="3230"/>
      <c r="F185" s="3230">
        <v>2530</v>
      </c>
      <c r="G185" s="3230"/>
    </row>
    <row r="186" spans="1:7" s="3219" customFormat="1" ht="14.25" customHeight="1">
      <c r="A186" s="3230" t="s">
        <v>29</v>
      </c>
      <c r="B186" s="3230" t="s">
        <v>3071</v>
      </c>
      <c r="C186" s="3230"/>
      <c r="D186" s="3230"/>
      <c r="E186" s="3230"/>
      <c r="F186" s="3230">
        <v>2550</v>
      </c>
      <c r="G186" s="3230"/>
    </row>
    <row r="187" spans="1:7" s="3219" customFormat="1" ht="14.25" customHeight="1">
      <c r="A187" s="3230" t="s">
        <v>29</v>
      </c>
      <c r="B187" s="3230" t="s">
        <v>3072</v>
      </c>
      <c r="C187" s="3230"/>
      <c r="D187" s="3230"/>
      <c r="E187" s="3230"/>
      <c r="F187" s="3230">
        <v>2070</v>
      </c>
      <c r="G187" s="3230"/>
    </row>
    <row r="188" spans="1:7" s="3219" customFormat="1" ht="14.25" customHeight="1">
      <c r="A188" s="3230" t="s">
        <v>29</v>
      </c>
      <c r="B188" s="3230" t="s">
        <v>3073</v>
      </c>
      <c r="C188" s="3230"/>
      <c r="D188" s="3230"/>
      <c r="E188" s="3230"/>
      <c r="F188" s="3230">
        <v>2340</v>
      </c>
      <c r="G188" s="3230"/>
    </row>
    <row r="189" spans="1:7" s="3219" customFormat="1" ht="14.25" customHeight="1" thickBot="1">
      <c r="A189" s="3238" t="s">
        <v>29</v>
      </c>
      <c r="B189" s="3241" t="s">
        <v>3074</v>
      </c>
      <c r="C189" s="3241"/>
      <c r="D189" s="3241"/>
      <c r="E189" s="3241"/>
      <c r="F189" s="3241">
        <v>2050</v>
      </c>
      <c r="G189" s="3241"/>
    </row>
    <row r="190" spans="1:7" s="3219" customFormat="1" ht="14.25" customHeight="1">
      <c r="A190" s="3235" t="s">
        <v>304</v>
      </c>
      <c r="B190" s="3226" t="s">
        <v>3094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3095</v>
      </c>
      <c r="C199" s="3230">
        <v>8690</v>
      </c>
      <c r="D199" s="3230">
        <v>8630</v>
      </c>
      <c r="E199" s="3230">
        <v>11350</v>
      </c>
      <c r="F199" s="3230">
        <v>1600</v>
      </c>
      <c r="G199" s="3243">
        <v>5450</v>
      </c>
    </row>
    <row r="200" spans="1:7" s="3219" customFormat="1" ht="14.25" customHeight="1">
      <c r="A200" s="3230" t="s">
        <v>304</v>
      </c>
      <c r="B200" s="3230" t="s">
        <v>2906</v>
      </c>
      <c r="C200" s="3230"/>
      <c r="D200" s="3230"/>
      <c r="E200" s="3230"/>
      <c r="F200" s="3230">
        <v>1510</v>
      </c>
      <c r="G200" s="3243"/>
    </row>
    <row r="201" spans="1:7" s="3219" customFormat="1" ht="14.25" customHeight="1">
      <c r="A201" s="3230" t="s">
        <v>304</v>
      </c>
      <c r="B201" s="3230" t="s">
        <v>3096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3097</v>
      </c>
      <c r="C203" s="3230">
        <v>8130</v>
      </c>
      <c r="D203" s="3230">
        <v>8070</v>
      </c>
      <c r="E203" s="3230">
        <v>10820</v>
      </c>
      <c r="F203" s="3230">
        <v>1690</v>
      </c>
      <c r="G203" s="3243">
        <v>5100</v>
      </c>
    </row>
    <row r="204" spans="1:7" s="3219" customFormat="1" ht="14.25" customHeight="1">
      <c r="A204" s="3230" t="s">
        <v>304</v>
      </c>
      <c r="B204" s="3230" t="s">
        <v>2917</v>
      </c>
      <c r="C204" s="3230">
        <v>8350</v>
      </c>
      <c r="D204" s="3230">
        <v>8290</v>
      </c>
      <c r="E204" s="3230">
        <v>11080</v>
      </c>
      <c r="F204" s="3230">
        <v>1450</v>
      </c>
      <c r="G204" s="3243">
        <v>5240</v>
      </c>
    </row>
    <row r="205" spans="1:7" s="3219" customFormat="1" ht="14.25" customHeight="1">
      <c r="A205" s="3230" t="s">
        <v>304</v>
      </c>
      <c r="B205" s="3230" t="s">
        <v>2919</v>
      </c>
      <c r="C205" s="3230">
        <v>7190</v>
      </c>
      <c r="D205" s="3230">
        <v>7130</v>
      </c>
      <c r="E205" s="3230">
        <v>9490</v>
      </c>
      <c r="F205" s="3230">
        <v>1470</v>
      </c>
      <c r="G205" s="3243">
        <v>4510</v>
      </c>
    </row>
    <row r="206" spans="1:7" s="3219" customFormat="1" ht="14.25" customHeight="1">
      <c r="A206" s="3230" t="s">
        <v>304</v>
      </c>
      <c r="B206" s="3230" t="s">
        <v>2922</v>
      </c>
      <c r="C206" s="3230">
        <v>7000</v>
      </c>
      <c r="D206" s="3230">
        <v>6950</v>
      </c>
      <c r="E206" s="3230">
        <v>9170</v>
      </c>
      <c r="F206" s="3230">
        <v>1400</v>
      </c>
      <c r="G206" s="3243">
        <v>4380</v>
      </c>
    </row>
    <row r="207" spans="1:7" s="3219" customFormat="1" ht="14.25" customHeight="1">
      <c r="A207" s="3230" t="s">
        <v>304</v>
      </c>
      <c r="B207" s="3230" t="s">
        <v>2924</v>
      </c>
      <c r="C207" s="3230">
        <v>6950</v>
      </c>
      <c r="D207" s="3230">
        <v>6900</v>
      </c>
      <c r="E207" s="3230">
        <v>9110</v>
      </c>
      <c r="F207" s="3230">
        <v>1790</v>
      </c>
      <c r="G207" s="3243">
        <v>4360</v>
      </c>
    </row>
    <row r="208" spans="1:7" s="3219" customFormat="1" ht="14.25" customHeight="1">
      <c r="A208" s="3230" t="s">
        <v>304</v>
      </c>
      <c r="B208" s="3230" t="s">
        <v>3098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2934</v>
      </c>
      <c r="C210" s="3230">
        <v>8710</v>
      </c>
      <c r="D210" s="3230">
        <v>8660</v>
      </c>
      <c r="E210" s="3230">
        <v>11440</v>
      </c>
      <c r="F210" s="3230">
        <v>1740</v>
      </c>
      <c r="G210" s="3243">
        <v>5470</v>
      </c>
    </row>
    <row r="211" spans="1:7" s="3219" customFormat="1" ht="14.25" customHeight="1">
      <c r="A211" s="3230" t="s">
        <v>304</v>
      </c>
      <c r="B211" s="3230" t="s">
        <v>3099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3100</v>
      </c>
      <c r="C214" s="3230">
        <v>8090</v>
      </c>
      <c r="D214" s="3230">
        <v>8030</v>
      </c>
      <c r="E214" s="3230">
        <v>10780</v>
      </c>
      <c r="F214" s="3230">
        <v>1570</v>
      </c>
      <c r="G214" s="3243">
        <v>5070</v>
      </c>
    </row>
    <row r="215" spans="1:7" s="3219" customFormat="1" ht="14.25" customHeight="1">
      <c r="A215" s="3230" t="s">
        <v>304</v>
      </c>
      <c r="B215" s="3230" t="s">
        <v>3101</v>
      </c>
      <c r="C215" s="3230">
        <v>7950</v>
      </c>
      <c r="D215" s="3230">
        <v>7900</v>
      </c>
      <c r="E215" s="3230">
        <v>10560</v>
      </c>
      <c r="F215" s="3230">
        <v>1630</v>
      </c>
      <c r="G215" s="3243">
        <v>4990</v>
      </c>
    </row>
    <row r="216" spans="1:7" s="3219" customFormat="1" ht="14.25" customHeight="1">
      <c r="A216" s="3230" t="s">
        <v>304</v>
      </c>
      <c r="B216" s="3230" t="s">
        <v>3102</v>
      </c>
      <c r="C216" s="3230">
        <v>8490</v>
      </c>
      <c r="D216" s="3230">
        <v>8440</v>
      </c>
      <c r="E216" s="3230">
        <v>11260</v>
      </c>
      <c r="F216" s="3230">
        <v>1690</v>
      </c>
      <c r="G216" s="3243">
        <v>5330</v>
      </c>
    </row>
    <row r="217" spans="1:7" s="3219" customFormat="1" ht="14.25" customHeight="1">
      <c r="A217" s="3230" t="s">
        <v>304</v>
      </c>
      <c r="B217" s="3230" t="s">
        <v>2967</v>
      </c>
      <c r="C217" s="3230">
        <v>8200</v>
      </c>
      <c r="D217" s="3230">
        <v>8150</v>
      </c>
      <c r="E217" s="3230">
        <v>10910</v>
      </c>
      <c r="F217" s="3230">
        <v>1670</v>
      </c>
      <c r="G217" s="3243">
        <v>5150</v>
      </c>
    </row>
    <row r="218" spans="1:7" s="3219" customFormat="1" ht="14.25" customHeight="1">
      <c r="A218" s="3230" t="s">
        <v>304</v>
      </c>
      <c r="B218" s="3230" t="s">
        <v>3103</v>
      </c>
      <c r="C218" s="3230"/>
      <c r="D218" s="3230"/>
      <c r="E218" s="3230"/>
      <c r="F218" s="3230">
        <v>2040</v>
      </c>
      <c r="G218" s="3243"/>
    </row>
    <row r="219" spans="1:7" s="3219" customFormat="1" ht="14.25" customHeight="1">
      <c r="A219" s="3230" t="s">
        <v>304</v>
      </c>
      <c r="B219" s="3230" t="s">
        <v>3104</v>
      </c>
      <c r="C219" s="3230"/>
      <c r="D219" s="3230"/>
      <c r="E219" s="3230"/>
      <c r="F219" s="3230">
        <v>2040</v>
      </c>
      <c r="G219" s="3243"/>
    </row>
    <row r="220" spans="1:7" s="3219" customFormat="1" ht="14.25" customHeight="1">
      <c r="A220" s="3230" t="s">
        <v>304</v>
      </c>
      <c r="B220" s="3230" t="s">
        <v>3105</v>
      </c>
      <c r="C220" s="3230"/>
      <c r="D220" s="3230"/>
      <c r="E220" s="3230"/>
      <c r="F220" s="3230">
        <v>2040</v>
      </c>
      <c r="G220" s="3243"/>
    </row>
    <row r="221" spans="1:7" s="3219" customFormat="1" ht="14.25" customHeight="1">
      <c r="A221" s="3230" t="s">
        <v>304</v>
      </c>
      <c r="B221" s="3230" t="s">
        <v>3106</v>
      </c>
      <c r="C221" s="3230"/>
      <c r="D221" s="3230"/>
      <c r="E221" s="3230"/>
      <c r="F221" s="3230">
        <v>2040</v>
      </c>
      <c r="G221" s="3243"/>
    </row>
    <row r="222" spans="1:7" s="3219" customFormat="1" ht="14.25" customHeight="1">
      <c r="A222" s="3230" t="s">
        <v>304</v>
      </c>
      <c r="B222" s="3230" t="s">
        <v>3107</v>
      </c>
      <c r="C222" s="3230"/>
      <c r="D222" s="3230"/>
      <c r="E222" s="3230"/>
      <c r="F222" s="3230">
        <v>2040</v>
      </c>
      <c r="G222" s="3243"/>
    </row>
    <row r="223" spans="1:7" s="3219" customFormat="1" ht="14.25" customHeight="1">
      <c r="A223" s="3230" t="s">
        <v>304</v>
      </c>
      <c r="B223" s="3230" t="s">
        <v>3108</v>
      </c>
      <c r="C223" s="3230"/>
      <c r="D223" s="3230"/>
      <c r="E223" s="3230"/>
      <c r="F223" s="3230">
        <v>1930</v>
      </c>
      <c r="G223" s="3243"/>
    </row>
    <row r="224" spans="1:7" s="3219" customFormat="1" ht="14.25" customHeight="1">
      <c r="A224" s="3230" t="s">
        <v>304</v>
      </c>
      <c r="B224" s="3230" t="s">
        <v>3109</v>
      </c>
      <c r="C224" s="3230"/>
      <c r="D224" s="3230"/>
      <c r="E224" s="3230"/>
      <c r="F224" s="3230">
        <v>1930</v>
      </c>
      <c r="G224" s="3243"/>
    </row>
    <row r="225" spans="1:7" s="3219" customFormat="1" ht="14.25" customHeight="1">
      <c r="A225" s="3230" t="s">
        <v>304</v>
      </c>
      <c r="B225" s="3230" t="s">
        <v>3110</v>
      </c>
      <c r="C225" s="3230"/>
      <c r="D225" s="3230"/>
      <c r="E225" s="3230"/>
      <c r="F225" s="3230">
        <v>1930</v>
      </c>
      <c r="G225" s="3243"/>
    </row>
    <row r="226" spans="1:7" s="3219" customFormat="1" ht="14.25" customHeight="1">
      <c r="A226" s="3230" t="s">
        <v>304</v>
      </c>
      <c r="B226" s="3230" t="s">
        <v>3111</v>
      </c>
      <c r="C226" s="3230"/>
      <c r="D226" s="3230"/>
      <c r="E226" s="3230"/>
      <c r="F226" s="3230">
        <v>1700</v>
      </c>
      <c r="G226" s="3243"/>
    </row>
    <row r="227" spans="1:7" s="3219" customFormat="1" ht="14.25" customHeight="1">
      <c r="A227" s="3230" t="s">
        <v>304</v>
      </c>
      <c r="B227" s="3230" t="s">
        <v>3112</v>
      </c>
      <c r="C227" s="3230"/>
      <c r="D227" s="3230"/>
      <c r="E227" s="3230"/>
      <c r="F227" s="3230">
        <v>1520</v>
      </c>
      <c r="G227" s="3243"/>
    </row>
    <row r="228" spans="1:7" s="3219" customFormat="1" ht="14.25" customHeight="1">
      <c r="A228" s="3230" t="s">
        <v>304</v>
      </c>
      <c r="B228" s="3230" t="s">
        <v>3113</v>
      </c>
      <c r="C228" s="3230"/>
      <c r="D228" s="3230"/>
      <c r="E228" s="3230"/>
      <c r="F228" s="3230">
        <v>1520</v>
      </c>
      <c r="G228" s="3243"/>
    </row>
    <row r="229" spans="1:7" s="3219" customFormat="1" ht="14.25" customHeight="1">
      <c r="A229" s="3230" t="s">
        <v>304</v>
      </c>
      <c r="B229" s="3230" t="s">
        <v>3030</v>
      </c>
      <c r="C229" s="3230"/>
      <c r="D229" s="3230"/>
      <c r="E229" s="3230"/>
      <c r="F229" s="3230">
        <v>1520</v>
      </c>
      <c r="G229" s="3243"/>
    </row>
    <row r="230" spans="1:7" s="3219" customFormat="1" ht="14.25" customHeight="1">
      <c r="A230" s="3230" t="s">
        <v>304</v>
      </c>
      <c r="B230" s="3230" t="s">
        <v>3114</v>
      </c>
      <c r="C230" s="3230"/>
      <c r="D230" s="3230"/>
      <c r="E230" s="3230"/>
      <c r="F230" s="3230">
        <v>1820</v>
      </c>
      <c r="G230" s="3243"/>
    </row>
    <row r="231" spans="1:7" s="3219" customFormat="1" ht="14.25" customHeight="1">
      <c r="A231" s="3230" t="s">
        <v>304</v>
      </c>
      <c r="B231" s="3230" t="s">
        <v>3115</v>
      </c>
      <c r="C231" s="3230"/>
      <c r="D231" s="3230"/>
      <c r="E231" s="3230"/>
      <c r="F231" s="3230">
        <v>1760</v>
      </c>
      <c r="G231" s="3243"/>
    </row>
    <row r="232" spans="1:7" s="3219" customFormat="1" ht="14.25" customHeight="1">
      <c r="A232" s="3230" t="s">
        <v>304</v>
      </c>
      <c r="B232" s="3230" t="s">
        <v>3116</v>
      </c>
      <c r="C232" s="3230"/>
      <c r="D232" s="3230"/>
      <c r="E232" s="3230"/>
      <c r="F232" s="3230">
        <v>1840</v>
      </c>
      <c r="G232" s="3243"/>
    </row>
    <row r="233" spans="1:7" s="3219" customFormat="1" ht="14.25" customHeight="1" thickBot="1">
      <c r="A233" s="3244" t="s">
        <v>304</v>
      </c>
      <c r="B233" s="3237" t="s">
        <v>3047</v>
      </c>
      <c r="C233" s="3237"/>
      <c r="D233" s="3237"/>
      <c r="E233" s="3237"/>
      <c r="F233" s="3237">
        <v>1770</v>
      </c>
      <c r="G233" s="3245"/>
    </row>
    <row r="234" spans="1:7" s="3219" customFormat="1" ht="14.25" customHeight="1">
      <c r="A234" s="3235" t="s">
        <v>305</v>
      </c>
      <c r="B234" s="3226" t="s">
        <v>3117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2888</v>
      </c>
      <c r="C238" s="3230">
        <v>6920</v>
      </c>
      <c r="D238" s="3230">
        <v>6890</v>
      </c>
      <c r="E238" s="3230">
        <v>8640</v>
      </c>
      <c r="F238" s="3230">
        <v>1310</v>
      </c>
      <c r="G238" s="3230">
        <v>4230</v>
      </c>
    </row>
    <row r="239" spans="1:7" s="3219" customFormat="1" ht="14.25" customHeight="1">
      <c r="A239" s="3230" t="s">
        <v>305</v>
      </c>
      <c r="B239" s="3230" t="s">
        <v>3118</v>
      </c>
      <c r="C239" s="3230">
        <v>6780</v>
      </c>
      <c r="D239" s="3230">
        <v>6750</v>
      </c>
      <c r="E239" s="3230">
        <v>8440</v>
      </c>
      <c r="F239" s="3230">
        <v>1160</v>
      </c>
      <c r="G239" s="3230">
        <v>4140</v>
      </c>
    </row>
    <row r="240" spans="1:7" s="3219" customFormat="1" ht="14.25" customHeight="1">
      <c r="A240" s="3230" t="s">
        <v>305</v>
      </c>
      <c r="B240" s="3230" t="s">
        <v>3119</v>
      </c>
      <c r="C240" s="3230">
        <v>5420</v>
      </c>
      <c r="D240" s="3230">
        <v>5380</v>
      </c>
      <c r="E240" s="3230">
        <v>6640</v>
      </c>
      <c r="F240" s="3230">
        <v>1020</v>
      </c>
      <c r="G240" s="3230">
        <v>3300</v>
      </c>
    </row>
    <row r="241" spans="1:7" s="3219" customFormat="1" ht="14.25" customHeight="1">
      <c r="A241" s="3230" t="s">
        <v>305</v>
      </c>
      <c r="B241" s="3230" t="s">
        <v>3120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2950</v>
      </c>
      <c r="C258" s="3230">
        <v>6190</v>
      </c>
      <c r="D258" s="3230">
        <v>6160</v>
      </c>
      <c r="E258" s="3230">
        <v>7680</v>
      </c>
      <c r="F258" s="3230">
        <v>1170</v>
      </c>
      <c r="G258" s="3230">
        <v>3780</v>
      </c>
    </row>
    <row r="259" spans="1:7" s="3219" customFormat="1" ht="14.25" customHeight="1">
      <c r="A259" s="3230" t="s">
        <v>305</v>
      </c>
      <c r="B259" s="3230" t="s">
        <v>3126</v>
      </c>
      <c r="C259" s="3230">
        <v>7610</v>
      </c>
      <c r="D259" s="3230">
        <v>7570</v>
      </c>
      <c r="E259" s="3230">
        <v>9350</v>
      </c>
      <c r="F259" s="3230">
        <v>1350</v>
      </c>
      <c r="G259" s="3230">
        <v>4650</v>
      </c>
    </row>
    <row r="260" spans="1:7" s="3219" customFormat="1" ht="14.25" customHeight="1">
      <c r="A260" s="3230" t="s">
        <v>305</v>
      </c>
      <c r="B260" s="3230" t="s">
        <v>3127</v>
      </c>
      <c r="C260" s="3230">
        <v>6920</v>
      </c>
      <c r="D260" s="3230">
        <v>6880</v>
      </c>
      <c r="E260" s="3230">
        <v>8380</v>
      </c>
      <c r="F260" s="3230">
        <v>1160</v>
      </c>
      <c r="G260" s="3230">
        <v>4220</v>
      </c>
    </row>
    <row r="261" spans="1:7" s="3219" customFormat="1" ht="14.25" customHeight="1">
      <c r="A261" s="3230" t="s">
        <v>305</v>
      </c>
      <c r="B261" s="3230" t="s">
        <v>3128</v>
      </c>
      <c r="C261" s="3230">
        <v>6850</v>
      </c>
      <c r="D261" s="3230">
        <v>6810</v>
      </c>
      <c r="E261" s="3230">
        <v>8290</v>
      </c>
      <c r="F261" s="3230">
        <v>1130</v>
      </c>
      <c r="G261" s="3230">
        <v>4180</v>
      </c>
    </row>
    <row r="262" spans="1:7" s="3219" customFormat="1" ht="14.25" customHeight="1">
      <c r="A262" s="3230" t="s">
        <v>305</v>
      </c>
      <c r="B262" s="3230" t="s">
        <v>3129</v>
      </c>
      <c r="C262" s="3230">
        <v>5860</v>
      </c>
      <c r="D262" s="3230">
        <v>5820</v>
      </c>
      <c r="E262" s="3230">
        <v>7640</v>
      </c>
      <c r="F262" s="3230">
        <v>1070</v>
      </c>
      <c r="G262" s="3230">
        <v>3570</v>
      </c>
    </row>
    <row r="263" spans="1:7" s="3219" customFormat="1" ht="14.25" customHeight="1">
      <c r="A263" s="3230" t="s">
        <v>305</v>
      </c>
      <c r="B263" s="3230" t="s">
        <v>3130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3131</v>
      </c>
      <c r="C265" s="3230"/>
      <c r="D265" s="3230"/>
      <c r="E265" s="3230"/>
      <c r="F265" s="3230">
        <v>1500</v>
      </c>
      <c r="G265" s="3230"/>
    </row>
    <row r="266" spans="1:7" s="3219" customFormat="1" ht="14.25" customHeight="1">
      <c r="A266" s="3230" t="s">
        <v>305</v>
      </c>
      <c r="B266" s="3230" t="s">
        <v>3132</v>
      </c>
      <c r="C266" s="3230"/>
      <c r="D266" s="3230"/>
      <c r="E266" s="3230"/>
      <c r="F266" s="3230">
        <v>1500</v>
      </c>
      <c r="G266" s="3230"/>
    </row>
    <row r="267" spans="1:7" s="3219" customFormat="1" ht="14.25" customHeight="1">
      <c r="A267" s="3230" t="s">
        <v>305</v>
      </c>
      <c r="B267" s="3230" t="s">
        <v>3133</v>
      </c>
      <c r="C267" s="3230"/>
      <c r="D267" s="3230"/>
      <c r="E267" s="3230"/>
      <c r="F267" s="3230">
        <v>1500</v>
      </c>
      <c r="G267" s="3230"/>
    </row>
    <row r="268" spans="1:7" s="3219" customFormat="1" ht="14.25" customHeight="1">
      <c r="A268" s="3230" t="s">
        <v>305</v>
      </c>
      <c r="B268" s="3230" t="s">
        <v>3134</v>
      </c>
      <c r="C268" s="3230"/>
      <c r="D268" s="3230"/>
      <c r="E268" s="3230"/>
      <c r="F268" s="3230">
        <v>1290</v>
      </c>
      <c r="G268" s="3230"/>
    </row>
    <row r="269" spans="1:7" s="3219" customFormat="1" ht="14.25" customHeight="1">
      <c r="A269" s="3230" t="s">
        <v>305</v>
      </c>
      <c r="B269" s="3230" t="s">
        <v>3135</v>
      </c>
      <c r="C269" s="3230"/>
      <c r="D269" s="3230"/>
      <c r="E269" s="3230"/>
      <c r="F269" s="3230">
        <v>1150</v>
      </c>
      <c r="G269" s="3230"/>
    </row>
    <row r="270" spans="1:7" s="3219" customFormat="1" ht="14.25" customHeight="1">
      <c r="A270" s="3230" t="s">
        <v>305</v>
      </c>
      <c r="B270" s="3230" t="s">
        <v>3136</v>
      </c>
      <c r="C270" s="3230"/>
      <c r="D270" s="3230"/>
      <c r="E270" s="3230"/>
      <c r="F270" s="3230">
        <v>1380</v>
      </c>
      <c r="G270" s="3230"/>
    </row>
    <row r="271" spans="1:7" s="3219" customFormat="1" ht="14.25" customHeight="1">
      <c r="A271" s="3230" t="s">
        <v>305</v>
      </c>
      <c r="B271" s="3230" t="s">
        <v>3137</v>
      </c>
      <c r="C271" s="3230"/>
      <c r="D271" s="3230"/>
      <c r="E271" s="3230"/>
      <c r="F271" s="3230">
        <v>1460</v>
      </c>
      <c r="G271" s="3230"/>
    </row>
    <row r="272" spans="1:7" s="3219" customFormat="1" ht="14.25" customHeight="1">
      <c r="A272" s="3230" t="s">
        <v>305</v>
      </c>
      <c r="B272" s="3230" t="s">
        <v>3138</v>
      </c>
      <c r="C272" s="3230"/>
      <c r="D272" s="3230"/>
      <c r="E272" s="3230"/>
      <c r="F272" s="3230">
        <v>1460</v>
      </c>
      <c r="G272" s="3230"/>
    </row>
    <row r="273" spans="1:7" s="3219" customFormat="1" ht="14.25" customHeight="1">
      <c r="A273" s="3230" t="s">
        <v>305</v>
      </c>
      <c r="B273" s="3230" t="s">
        <v>3031</v>
      </c>
      <c r="C273" s="3230"/>
      <c r="D273" s="3230"/>
      <c r="E273" s="3230"/>
      <c r="F273" s="3230">
        <v>1490</v>
      </c>
      <c r="G273" s="3230"/>
    </row>
    <row r="274" spans="1:7" s="3219" customFormat="1" ht="14.25" customHeight="1">
      <c r="A274" s="3230" t="s">
        <v>305</v>
      </c>
      <c r="B274" s="3230" t="s">
        <v>3139</v>
      </c>
      <c r="C274" s="3230"/>
      <c r="D274" s="3230"/>
      <c r="E274" s="3230"/>
      <c r="F274" s="3230">
        <v>1490</v>
      </c>
      <c r="G274" s="3230"/>
    </row>
    <row r="275" spans="1:7" s="3219" customFormat="1" ht="14.25" customHeight="1">
      <c r="A275" s="3230" t="s">
        <v>305</v>
      </c>
      <c r="B275" s="3230" t="s">
        <v>3140</v>
      </c>
      <c r="C275" s="3230"/>
      <c r="D275" s="3230"/>
      <c r="E275" s="3230"/>
      <c r="F275" s="3230">
        <v>1220</v>
      </c>
      <c r="G275" s="3230"/>
    </row>
    <row r="276" spans="1:7" s="3219" customFormat="1" ht="14.25" customHeight="1" thickBot="1">
      <c r="A276" s="3238" t="s">
        <v>305</v>
      </c>
      <c r="B276" s="3240" t="s">
        <v>3141</v>
      </c>
      <c r="C276" s="3241"/>
      <c r="D276" s="3241"/>
      <c r="E276" s="3241"/>
      <c r="F276" s="3241">
        <v>1380</v>
      </c>
      <c r="G276" s="3241"/>
    </row>
    <row r="277" spans="1:7" s="3219" customFormat="1" ht="14.25" customHeight="1">
      <c r="A277" s="3235" t="s">
        <v>306</v>
      </c>
      <c r="B277" s="3226" t="s">
        <v>3142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3143</v>
      </c>
      <c r="C279" s="3230">
        <v>4760</v>
      </c>
      <c r="D279" s="3230">
        <v>4720</v>
      </c>
      <c r="E279" s="3230">
        <v>5540</v>
      </c>
      <c r="F279" s="3230">
        <v>810</v>
      </c>
      <c r="G279" s="3243">
        <v>2850</v>
      </c>
    </row>
    <row r="280" spans="1:7" s="3219" customFormat="1" ht="14.25" customHeight="1">
      <c r="A280" s="3230" t="s">
        <v>306</v>
      </c>
      <c r="B280" s="3230" t="s">
        <v>3144</v>
      </c>
      <c r="C280" s="3230">
        <v>4010</v>
      </c>
      <c r="D280" s="3230">
        <v>3950</v>
      </c>
      <c r="E280" s="3230">
        <v>4710</v>
      </c>
      <c r="F280" s="3230">
        <v>800</v>
      </c>
      <c r="G280" s="3243">
        <v>2390</v>
      </c>
    </row>
    <row r="281" spans="1:7" s="3219" customFormat="1" ht="14.25" customHeight="1">
      <c r="A281" s="3230" t="s">
        <v>306</v>
      </c>
      <c r="B281" s="3230" t="s">
        <v>3145</v>
      </c>
      <c r="C281" s="3230">
        <v>4480</v>
      </c>
      <c r="D281" s="3230">
        <v>4420</v>
      </c>
      <c r="E281" s="3230">
        <v>5230</v>
      </c>
      <c r="F281" s="3230">
        <v>870</v>
      </c>
      <c r="G281" s="3243">
        <v>2660</v>
      </c>
    </row>
    <row r="282" spans="1:7" s="3219" customFormat="1" ht="14.25" customHeight="1">
      <c r="A282" s="3230" t="s">
        <v>306</v>
      </c>
      <c r="B282" s="3230" t="s">
        <v>3146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2923</v>
      </c>
      <c r="C293" s="3230">
        <v>5320</v>
      </c>
      <c r="D293" s="3230">
        <v>5270</v>
      </c>
      <c r="E293" s="3230">
        <v>6160</v>
      </c>
      <c r="F293" s="3230">
        <v>990</v>
      </c>
      <c r="G293" s="3243">
        <v>3170</v>
      </c>
    </row>
    <row r="294" spans="1:7" s="3219" customFormat="1" ht="14.25" customHeight="1">
      <c r="A294" s="3230" t="s">
        <v>306</v>
      </c>
      <c r="B294" s="3230" t="s">
        <v>3149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3150</v>
      </c>
      <c r="C302" s="3230">
        <v>5520</v>
      </c>
      <c r="D302" s="3230">
        <v>5470</v>
      </c>
      <c r="E302" s="3230">
        <v>6410</v>
      </c>
      <c r="F302" s="3230">
        <v>950</v>
      </c>
      <c r="G302" s="3243">
        <v>3300</v>
      </c>
    </row>
    <row r="303" spans="1:7" s="3219" customFormat="1" ht="14.25" customHeight="1">
      <c r="A303" s="3230" t="s">
        <v>306</v>
      </c>
      <c r="B303" s="3230" t="s">
        <v>2962</v>
      </c>
      <c r="C303" s="3230">
        <v>5630</v>
      </c>
      <c r="D303" s="3230">
        <v>5590</v>
      </c>
      <c r="E303" s="3230">
        <v>6550</v>
      </c>
      <c r="F303" s="3230">
        <v>1010</v>
      </c>
      <c r="G303" s="3243">
        <v>3370</v>
      </c>
    </row>
    <row r="304" spans="1:7" s="3219" customFormat="1" ht="14.25" customHeight="1">
      <c r="A304" s="3230" t="s">
        <v>306</v>
      </c>
      <c r="B304" s="3230" t="s">
        <v>2969</v>
      </c>
      <c r="C304" s="3230">
        <v>5680</v>
      </c>
      <c r="D304" s="3230">
        <v>5620</v>
      </c>
      <c r="E304" s="3230">
        <v>6620</v>
      </c>
      <c r="F304" s="3230">
        <v>1050</v>
      </c>
      <c r="G304" s="3243">
        <v>3390</v>
      </c>
    </row>
    <row r="305" spans="1:7" s="3219" customFormat="1" ht="14.25" customHeight="1">
      <c r="A305" s="3230" t="s">
        <v>306</v>
      </c>
      <c r="B305" s="3230" t="s">
        <v>2975</v>
      </c>
      <c r="C305" s="3230">
        <v>5590</v>
      </c>
      <c r="D305" s="3230">
        <v>5530</v>
      </c>
      <c r="E305" s="3230">
        <v>6460</v>
      </c>
      <c r="F305" s="3230">
        <v>900</v>
      </c>
      <c r="G305" s="3243">
        <v>3340</v>
      </c>
    </row>
    <row r="306" spans="1:7" s="3219" customFormat="1" ht="14.25" customHeight="1">
      <c r="A306" s="3230" t="s">
        <v>306</v>
      </c>
      <c r="B306" s="3230" t="s">
        <v>3151</v>
      </c>
      <c r="C306" s="3230">
        <v>5560</v>
      </c>
      <c r="D306" s="3230">
        <v>5510</v>
      </c>
      <c r="E306" s="3230">
        <v>6440</v>
      </c>
      <c r="F306" s="3230">
        <v>900</v>
      </c>
      <c r="G306" s="3243">
        <v>3320</v>
      </c>
    </row>
    <row r="307" spans="1:7" s="3219" customFormat="1" ht="14.25" customHeight="1">
      <c r="A307" s="3230" t="s">
        <v>306</v>
      </c>
      <c r="B307" s="3230" t="s">
        <v>2987</v>
      </c>
      <c r="C307" s="3230">
        <v>5650</v>
      </c>
      <c r="D307" s="3230">
        <v>5600</v>
      </c>
      <c r="E307" s="3230">
        <v>6590</v>
      </c>
      <c r="F307" s="3230">
        <v>930</v>
      </c>
      <c r="G307" s="3243">
        <v>3380</v>
      </c>
    </row>
    <row r="308" spans="1:7" s="3219" customFormat="1" ht="14.25" customHeight="1">
      <c r="A308" s="3230" t="s">
        <v>306</v>
      </c>
      <c r="B308" s="3230" t="s">
        <v>3152</v>
      </c>
      <c r="C308" s="3230">
        <v>5620</v>
      </c>
      <c r="D308" s="3230">
        <v>5580</v>
      </c>
      <c r="E308" s="3230">
        <v>6540</v>
      </c>
      <c r="F308" s="3230">
        <v>910</v>
      </c>
      <c r="G308" s="3243">
        <v>3370</v>
      </c>
    </row>
    <row r="309" spans="1:7" s="3219" customFormat="1" ht="14.25" customHeight="1">
      <c r="A309" s="3230" t="s">
        <v>306</v>
      </c>
      <c r="B309" s="3230" t="s">
        <v>3153</v>
      </c>
      <c r="C309" s="3230">
        <v>5060</v>
      </c>
      <c r="D309" s="3230">
        <v>5020</v>
      </c>
      <c r="E309" s="3230">
        <v>6370</v>
      </c>
      <c r="F309" s="3230">
        <v>800</v>
      </c>
      <c r="G309" s="3243">
        <v>3020</v>
      </c>
    </row>
    <row r="310" spans="1:7" s="3219" customFormat="1" ht="14.25" customHeight="1">
      <c r="A310" s="3230" t="s">
        <v>306</v>
      </c>
      <c r="B310" s="3230" t="s">
        <v>3002</v>
      </c>
      <c r="C310" s="3230">
        <v>5150</v>
      </c>
      <c r="D310" s="3230">
        <v>5110</v>
      </c>
      <c r="E310" s="3230">
        <v>6500</v>
      </c>
      <c r="F310" s="3230">
        <v>880</v>
      </c>
      <c r="G310" s="3243">
        <v>3080</v>
      </c>
    </row>
    <row r="311" spans="1:7" s="3219" customFormat="1" ht="14.25" customHeight="1">
      <c r="A311" s="3230" t="s">
        <v>306</v>
      </c>
      <c r="B311" s="3230" t="s">
        <v>3154</v>
      </c>
      <c r="C311" s="3230">
        <v>4750</v>
      </c>
      <c r="D311" s="3230">
        <v>4710</v>
      </c>
      <c r="E311" s="3230">
        <v>5510</v>
      </c>
      <c r="F311" s="3230">
        <v>880</v>
      </c>
      <c r="G311" s="3243">
        <v>2840</v>
      </c>
    </row>
    <row r="312" spans="1:7" s="3219" customFormat="1" ht="14.25" customHeight="1">
      <c r="A312" s="3230" t="s">
        <v>306</v>
      </c>
      <c r="B312" s="3230" t="s">
        <v>3012</v>
      </c>
      <c r="C312" s="3230">
        <v>4690</v>
      </c>
      <c r="D312" s="3230">
        <v>4640</v>
      </c>
      <c r="E312" s="3230">
        <v>5420</v>
      </c>
      <c r="F312" s="3230">
        <v>800</v>
      </c>
      <c r="G312" s="3243">
        <v>2800</v>
      </c>
    </row>
    <row r="313" spans="1:7" s="3219" customFormat="1" ht="14.25" customHeight="1">
      <c r="A313" s="3230" t="s">
        <v>306</v>
      </c>
      <c r="B313" s="3230" t="s">
        <v>3017</v>
      </c>
      <c r="C313" s="3230">
        <v>4810</v>
      </c>
      <c r="D313" s="3230">
        <v>4760</v>
      </c>
      <c r="E313" s="3230">
        <v>5550</v>
      </c>
      <c r="F313" s="3230">
        <v>920</v>
      </c>
      <c r="G313" s="3243">
        <v>2870</v>
      </c>
    </row>
    <row r="314" spans="1:7" s="3219" customFormat="1" ht="14.25" customHeight="1">
      <c r="A314" s="3230" t="s">
        <v>306</v>
      </c>
      <c r="B314" s="3230" t="s">
        <v>3155</v>
      </c>
      <c r="C314" s="3230"/>
      <c r="D314" s="3230"/>
      <c r="E314" s="3230"/>
      <c r="F314" s="3230">
        <v>1020</v>
      </c>
      <c r="G314" s="3243"/>
    </row>
    <row r="315" spans="1:7" s="3219" customFormat="1" ht="14.25" customHeight="1">
      <c r="A315" s="3230" t="s">
        <v>306</v>
      </c>
      <c r="B315" s="3230" t="s">
        <v>3156</v>
      </c>
      <c r="C315" s="3230"/>
      <c r="D315" s="3230"/>
      <c r="E315" s="3230"/>
      <c r="F315" s="3230">
        <v>1050</v>
      </c>
      <c r="G315" s="3243"/>
    </row>
    <row r="316" spans="1:7" s="3219" customFormat="1" ht="14.25" customHeight="1">
      <c r="A316" s="3230" t="s">
        <v>306</v>
      </c>
      <c r="B316" s="3230" t="s">
        <v>3032</v>
      </c>
      <c r="C316" s="3230"/>
      <c r="D316" s="3230"/>
      <c r="E316" s="3230"/>
      <c r="F316" s="3230">
        <v>900</v>
      </c>
      <c r="G316" s="3243"/>
    </row>
    <row r="317" spans="1:7" s="3219" customFormat="1" ht="14.25" customHeight="1">
      <c r="A317" s="3230" t="s">
        <v>306</v>
      </c>
      <c r="B317" s="3230" t="s">
        <v>3157</v>
      </c>
      <c r="C317" s="3230"/>
      <c r="D317" s="3230"/>
      <c r="E317" s="3230"/>
      <c r="F317" s="3230">
        <v>920</v>
      </c>
      <c r="G317" s="3243"/>
    </row>
    <row r="318" spans="1:7" s="3219" customFormat="1" ht="14.25" customHeight="1">
      <c r="A318" s="3230" t="s">
        <v>306</v>
      </c>
      <c r="B318" s="3230" t="s">
        <v>3158</v>
      </c>
      <c r="C318" s="3230"/>
      <c r="D318" s="3230"/>
      <c r="E318" s="3230"/>
      <c r="F318" s="3230">
        <v>1080</v>
      </c>
      <c r="G318" s="3243"/>
    </row>
    <row r="319" spans="1:7" s="3219" customFormat="1" ht="14.25" customHeight="1">
      <c r="A319" s="3230" t="s">
        <v>306</v>
      </c>
      <c r="B319" s="3230" t="s">
        <v>3045</v>
      </c>
      <c r="C319" s="3230"/>
      <c r="D319" s="3230"/>
      <c r="E319" s="3230"/>
      <c r="F319" s="3230">
        <v>1020</v>
      </c>
      <c r="G319" s="3243"/>
    </row>
    <row r="320" spans="1:7" s="3219" customFormat="1" ht="14.25" customHeight="1">
      <c r="A320" s="3230" t="s">
        <v>306</v>
      </c>
      <c r="B320" s="3230" t="s">
        <v>3048</v>
      </c>
      <c r="C320" s="3230"/>
      <c r="D320" s="3230"/>
      <c r="E320" s="3230"/>
      <c r="F320" s="3230">
        <v>1050</v>
      </c>
      <c r="G320" s="3243"/>
    </row>
    <row r="321" spans="1:7" s="3219" customFormat="1" ht="14.25" customHeight="1">
      <c r="A321" s="3230" t="s">
        <v>306</v>
      </c>
      <c r="B321" s="3230" t="s">
        <v>3050</v>
      </c>
      <c r="C321" s="3230"/>
      <c r="D321" s="3230"/>
      <c r="E321" s="3230"/>
      <c r="F321" s="3230">
        <v>960</v>
      </c>
      <c r="G321" s="3243"/>
    </row>
    <row r="322" spans="1:7" s="3219" customFormat="1" ht="14.25" customHeight="1">
      <c r="A322" s="3230" t="s">
        <v>306</v>
      </c>
      <c r="B322" s="3230" t="s">
        <v>3052</v>
      </c>
      <c r="C322" s="3230"/>
      <c r="D322" s="3230"/>
      <c r="E322" s="3230"/>
      <c r="F322" s="3230">
        <v>960</v>
      </c>
      <c r="G322" s="3243"/>
    </row>
    <row r="323" spans="1:7" s="3219" customFormat="1" ht="14.25" customHeight="1">
      <c r="A323" s="3230" t="s">
        <v>306</v>
      </c>
      <c r="B323" s="3230" t="s">
        <v>3054</v>
      </c>
      <c r="C323" s="3230"/>
      <c r="D323" s="3230"/>
      <c r="E323" s="3230"/>
      <c r="F323" s="3230">
        <v>880</v>
      </c>
      <c r="G323" s="3243"/>
    </row>
    <row r="324" spans="1:7" s="3219" customFormat="1" ht="14.25" customHeight="1">
      <c r="A324" s="3230" t="s">
        <v>306</v>
      </c>
      <c r="B324" s="3230" t="s">
        <v>3056</v>
      </c>
      <c r="C324" s="3230"/>
      <c r="D324" s="3230"/>
      <c r="E324" s="3230"/>
      <c r="F324" s="3230">
        <v>930</v>
      </c>
      <c r="G324" s="3243"/>
    </row>
    <row r="325" spans="1:7" s="3219" customFormat="1" ht="14.25" customHeight="1">
      <c r="A325" s="3230" t="s">
        <v>306</v>
      </c>
      <c r="B325" s="3231" t="s">
        <v>3058</v>
      </c>
      <c r="C325" s="3230"/>
      <c r="D325" s="3230"/>
      <c r="E325" s="3230"/>
      <c r="F325" s="3230">
        <v>900</v>
      </c>
      <c r="G325" s="3243"/>
    </row>
    <row r="326" spans="1:7" s="3219" customFormat="1" ht="14.25" customHeight="1" thickBot="1">
      <c r="A326" s="3244" t="s">
        <v>306</v>
      </c>
      <c r="B326" s="3237" t="s">
        <v>3060</v>
      </c>
      <c r="C326" s="3237"/>
      <c r="D326" s="3237"/>
      <c r="E326" s="3237"/>
      <c r="F326" s="3237">
        <v>790</v>
      </c>
      <c r="G326" s="3245"/>
    </row>
    <row r="327" spans="1:7" s="3219" customFormat="1" ht="14.25" customHeight="1">
      <c r="A327" s="3235" t="s">
        <v>307</v>
      </c>
      <c r="B327" s="3226" t="s">
        <v>3159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3160</v>
      </c>
      <c r="C329" s="3230">
        <v>2730</v>
      </c>
      <c r="D329" s="3230">
        <v>2690</v>
      </c>
      <c r="E329" s="3230">
        <v>3100</v>
      </c>
      <c r="F329" s="3230">
        <v>660</v>
      </c>
      <c r="G329" s="3230">
        <v>1610</v>
      </c>
    </row>
    <row r="330" spans="1:7" s="3219" customFormat="1" ht="14.25" customHeight="1">
      <c r="A330" s="3230" t="s">
        <v>307</v>
      </c>
      <c r="B330" s="3230" t="s">
        <v>3161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2894</v>
      </c>
      <c r="C332" s="3230">
        <v>3520</v>
      </c>
      <c r="D332" s="3230">
        <v>3480</v>
      </c>
      <c r="E332" s="3230">
        <v>3830</v>
      </c>
      <c r="F332" s="3230">
        <v>720</v>
      </c>
      <c r="G332" s="3230">
        <v>2090</v>
      </c>
    </row>
    <row r="333" spans="1:7" s="3219" customFormat="1" ht="14.25" customHeight="1">
      <c r="A333" s="3230" t="s">
        <v>307</v>
      </c>
      <c r="B333" s="3230" t="s">
        <v>3162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2904</v>
      </c>
      <c r="C336" s="3230">
        <v>3570</v>
      </c>
      <c r="D336" s="3230">
        <v>3530</v>
      </c>
      <c r="E336" s="3230">
        <v>3880</v>
      </c>
      <c r="F336" s="3230">
        <v>770</v>
      </c>
      <c r="G336" s="3230">
        <v>2110</v>
      </c>
    </row>
    <row r="337" spans="1:10" s="3219" customFormat="1" ht="14.25" customHeight="1">
      <c r="A337" s="3230" t="s">
        <v>307</v>
      </c>
      <c r="B337" s="3230" t="s">
        <v>3163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2929</v>
      </c>
      <c r="C345" s="3230">
        <v>3190</v>
      </c>
      <c r="D345" s="3230">
        <v>3140</v>
      </c>
      <c r="E345" s="3230">
        <v>3450</v>
      </c>
      <c r="F345" s="3230">
        <v>720</v>
      </c>
      <c r="G345" s="3230">
        <v>1880</v>
      </c>
      <c r="J345" s="3219"/>
    </row>
    <row r="346" spans="1:10">
      <c r="A346" s="3230" t="s">
        <v>307</v>
      </c>
      <c r="B346" s="3230" t="s">
        <v>3166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2938</v>
      </c>
      <c r="C348" s="3230">
        <v>4000</v>
      </c>
      <c r="D348" s="3230">
        <v>3950</v>
      </c>
      <c r="E348" s="3230">
        <v>4430</v>
      </c>
      <c r="F348" s="3230">
        <v>760</v>
      </c>
      <c r="G348" s="3230">
        <v>2360</v>
      </c>
      <c r="J348" s="3219"/>
    </row>
    <row r="349" spans="1:10">
      <c r="A349" s="3230" t="s">
        <v>307</v>
      </c>
      <c r="B349" s="3230" t="s">
        <v>2943</v>
      </c>
      <c r="C349" s="3230">
        <v>3820</v>
      </c>
      <c r="D349" s="3230">
        <v>3780</v>
      </c>
      <c r="E349" s="3230">
        <v>4170</v>
      </c>
      <c r="F349" s="3230">
        <v>710</v>
      </c>
      <c r="G349" s="3230">
        <v>2260</v>
      </c>
      <c r="J349" s="3219"/>
    </row>
    <row r="350" spans="1:10">
      <c r="A350" s="3230" t="s">
        <v>307</v>
      </c>
      <c r="B350" s="3230" t="s">
        <v>3167</v>
      </c>
      <c r="C350" s="3230">
        <v>3760</v>
      </c>
      <c r="D350" s="3230">
        <v>3730</v>
      </c>
      <c r="E350" s="3230">
        <v>4100</v>
      </c>
      <c r="F350" s="3230">
        <v>800</v>
      </c>
      <c r="G350" s="3230">
        <v>2230</v>
      </c>
      <c r="J350" s="3219"/>
    </row>
    <row r="351" spans="1:10">
      <c r="A351" s="3230" t="s">
        <v>307</v>
      </c>
      <c r="B351" s="3230" t="s">
        <v>2951</v>
      </c>
      <c r="C351" s="3230">
        <v>3610</v>
      </c>
      <c r="D351" s="3230">
        <v>3580</v>
      </c>
      <c r="E351" s="3230">
        <v>3930</v>
      </c>
      <c r="F351" s="3230">
        <v>700</v>
      </c>
      <c r="G351" s="3230">
        <v>2140</v>
      </c>
      <c r="J351" s="3219"/>
    </row>
    <row r="352" spans="1:10">
      <c r="A352" s="3230" t="s">
        <v>307</v>
      </c>
      <c r="B352" s="3230" t="s">
        <v>2956</v>
      </c>
      <c r="C352" s="3230">
        <v>3670</v>
      </c>
      <c r="D352" s="3230">
        <v>3630</v>
      </c>
      <c r="E352" s="3230">
        <v>4000</v>
      </c>
      <c r="F352" s="3230">
        <v>750</v>
      </c>
      <c r="G352" s="3230">
        <v>2180</v>
      </c>
    </row>
    <row r="353" spans="1:7" s="3223" customFormat="1">
      <c r="A353" s="3230" t="s">
        <v>307</v>
      </c>
      <c r="B353" s="3230" t="s">
        <v>3168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2976</v>
      </c>
      <c r="C355" s="3230">
        <v>3650</v>
      </c>
      <c r="D355" s="3230">
        <v>3610</v>
      </c>
      <c r="E355" s="3230">
        <v>4200</v>
      </c>
      <c r="F355" s="3230">
        <v>640</v>
      </c>
      <c r="G355" s="3230">
        <v>2160</v>
      </c>
    </row>
    <row r="356" spans="1:7" s="3223" customFormat="1">
      <c r="A356" s="3230" t="s">
        <v>307</v>
      </c>
      <c r="B356" s="3230" t="s">
        <v>2983</v>
      </c>
      <c r="C356" s="3230">
        <v>3260</v>
      </c>
      <c r="D356" s="3230">
        <v>3230</v>
      </c>
      <c r="E356" s="3230">
        <v>3740</v>
      </c>
      <c r="F356" s="3230">
        <v>600</v>
      </c>
      <c r="G356" s="3230">
        <v>1930</v>
      </c>
    </row>
    <row r="357" spans="1:7" s="3223" customFormat="1" ht="12.75" thickBot="1">
      <c r="A357" s="3238" t="s">
        <v>307</v>
      </c>
      <c r="B357" s="3241" t="s">
        <v>3169</v>
      </c>
      <c r="C357" s="3241">
        <v>3690</v>
      </c>
      <c r="D357" s="3241">
        <v>3650</v>
      </c>
      <c r="E357" s="3241">
        <v>4020</v>
      </c>
      <c r="F357" s="3241">
        <v>700</v>
      </c>
      <c r="G357" s="3241">
        <v>2190</v>
      </c>
    </row>
    <row r="358" spans="1:7" s="3223" customFormat="1">
      <c r="A358" s="3235" t="s">
        <v>3170</v>
      </c>
      <c r="B358" s="3226" t="s">
        <v>3171</v>
      </c>
      <c r="C358" s="3226">
        <v>2080</v>
      </c>
      <c r="D358" s="3226">
        <v>2040</v>
      </c>
      <c r="E358" s="3226">
        <v>2010</v>
      </c>
      <c r="F358" s="3226">
        <v>530</v>
      </c>
      <c r="G358" s="3242">
        <v>1230</v>
      </c>
    </row>
    <row r="359" spans="1:7" s="3223" customFormat="1">
      <c r="A359" s="3230" t="s">
        <v>3170</v>
      </c>
      <c r="B359" s="3230" t="s">
        <v>3172</v>
      </c>
      <c r="C359" s="3230">
        <v>1850</v>
      </c>
      <c r="D359" s="3230">
        <v>1820</v>
      </c>
      <c r="E359" s="3230">
        <v>1780</v>
      </c>
      <c r="F359" s="3230">
        <v>520</v>
      </c>
      <c r="G359" s="3243">
        <v>1100</v>
      </c>
    </row>
    <row r="360" spans="1:7" s="3223" customFormat="1">
      <c r="A360" s="3230" t="s">
        <v>3170</v>
      </c>
      <c r="B360" s="3230" t="s">
        <v>3173</v>
      </c>
      <c r="C360" s="3230">
        <v>2020</v>
      </c>
      <c r="D360" s="3230">
        <v>1990</v>
      </c>
      <c r="E360" s="3230">
        <v>1950</v>
      </c>
      <c r="F360" s="3230">
        <v>500</v>
      </c>
      <c r="G360" s="3243">
        <v>1200</v>
      </c>
    </row>
    <row r="361" spans="1:7" s="3223" customFormat="1">
      <c r="A361" s="3230" t="s">
        <v>3170</v>
      </c>
      <c r="B361" s="3230" t="s">
        <v>153</v>
      </c>
      <c r="C361" s="3230">
        <v>2260</v>
      </c>
      <c r="D361" s="3230">
        <v>2220</v>
      </c>
      <c r="E361" s="3230">
        <v>2180</v>
      </c>
      <c r="F361" s="3230">
        <v>580</v>
      </c>
      <c r="G361" s="3243">
        <v>1340</v>
      </c>
    </row>
    <row r="362" spans="1:7" s="3223" customFormat="1">
      <c r="A362" s="3230" t="s">
        <v>3170</v>
      </c>
      <c r="B362" s="3230" t="s">
        <v>3174</v>
      </c>
      <c r="C362" s="3230">
        <v>2650</v>
      </c>
      <c r="D362" s="3230">
        <v>2610</v>
      </c>
      <c r="E362" s="3230">
        <v>2570</v>
      </c>
      <c r="F362" s="3230">
        <v>630</v>
      </c>
      <c r="G362" s="3243">
        <v>1570</v>
      </c>
    </row>
    <row r="363" spans="1:7" s="3223" customFormat="1">
      <c r="A363" s="3230" t="s">
        <v>3170</v>
      </c>
      <c r="B363" s="3230" t="s">
        <v>2895</v>
      </c>
      <c r="C363" s="3230">
        <v>2390</v>
      </c>
      <c r="D363" s="3230">
        <v>2360</v>
      </c>
      <c r="E363" s="3230">
        <v>2320</v>
      </c>
      <c r="F363" s="3230">
        <v>600</v>
      </c>
      <c r="G363" s="3243">
        <v>1420</v>
      </c>
    </row>
    <row r="364" spans="1:7" s="3223" customFormat="1">
      <c r="A364" s="3230" t="s">
        <v>3170</v>
      </c>
      <c r="B364" s="3230" t="s">
        <v>3175</v>
      </c>
      <c r="C364" s="3230">
        <v>2050</v>
      </c>
      <c r="D364" s="3230">
        <v>2030</v>
      </c>
      <c r="E364" s="3230">
        <v>1990</v>
      </c>
      <c r="F364" s="3230">
        <v>550</v>
      </c>
      <c r="G364" s="3243">
        <v>1220</v>
      </c>
    </row>
    <row r="365" spans="1:7" s="3223" customFormat="1">
      <c r="A365" s="3230" t="s">
        <v>3170</v>
      </c>
      <c r="B365" s="3230" t="s">
        <v>200</v>
      </c>
      <c r="C365" s="3230">
        <v>2140</v>
      </c>
      <c r="D365" s="3230">
        <v>2100</v>
      </c>
      <c r="E365" s="3230">
        <v>2060</v>
      </c>
      <c r="F365" s="3230">
        <v>540</v>
      </c>
      <c r="G365" s="3243">
        <v>1270</v>
      </c>
    </row>
    <row r="366" spans="1:7" s="3223" customFormat="1">
      <c r="A366" s="3230" t="s">
        <v>3170</v>
      </c>
      <c r="B366" s="3230" t="s">
        <v>2902</v>
      </c>
      <c r="C366" s="3230">
        <v>2410</v>
      </c>
      <c r="D366" s="3230">
        <v>2370</v>
      </c>
      <c r="E366" s="3230">
        <v>2330</v>
      </c>
      <c r="F366" s="3230">
        <v>570</v>
      </c>
      <c r="G366" s="3243">
        <v>1440</v>
      </c>
    </row>
    <row r="367" spans="1:7" s="3223" customFormat="1">
      <c r="A367" s="3230" t="s">
        <v>3170</v>
      </c>
      <c r="B367" s="3230" t="s">
        <v>3176</v>
      </c>
      <c r="C367" s="3230">
        <v>2300</v>
      </c>
      <c r="D367" s="3230">
        <v>2260</v>
      </c>
      <c r="E367" s="3230">
        <v>2220</v>
      </c>
      <c r="F367" s="3230">
        <v>560</v>
      </c>
      <c r="G367" s="3243">
        <v>1370</v>
      </c>
    </row>
    <row r="368" spans="1:7" s="3223" customFormat="1">
      <c r="A368" s="3230" t="s">
        <v>3170</v>
      </c>
      <c r="B368" s="3230" t="s">
        <v>3177</v>
      </c>
      <c r="C368" s="3230">
        <v>2430</v>
      </c>
      <c r="D368" s="3230">
        <v>2390</v>
      </c>
      <c r="E368" s="3230">
        <v>2350</v>
      </c>
      <c r="F368" s="3230">
        <v>570</v>
      </c>
      <c r="G368" s="3243">
        <v>1450</v>
      </c>
    </row>
    <row r="369" spans="1:7" s="3223" customFormat="1">
      <c r="A369" s="3230" t="s">
        <v>3170</v>
      </c>
      <c r="B369" s="3230" t="s">
        <v>214</v>
      </c>
      <c r="C369" s="3230">
        <v>2320</v>
      </c>
      <c r="D369" s="3230">
        <v>2290</v>
      </c>
      <c r="E369" s="3230">
        <v>2250</v>
      </c>
      <c r="F369" s="3230">
        <v>550</v>
      </c>
      <c r="G369" s="3243">
        <v>1380</v>
      </c>
    </row>
    <row r="370" spans="1:7" s="3223" customFormat="1">
      <c r="A370" s="3230" t="s">
        <v>3170</v>
      </c>
      <c r="B370" s="3230" t="s">
        <v>221</v>
      </c>
      <c r="C370" s="3230">
        <v>2190</v>
      </c>
      <c r="D370" s="3230">
        <v>2170</v>
      </c>
      <c r="E370" s="3230">
        <v>2130</v>
      </c>
      <c r="F370" s="3230">
        <v>530</v>
      </c>
      <c r="G370" s="3243">
        <v>1310</v>
      </c>
    </row>
    <row r="371" spans="1:7" s="3223" customFormat="1">
      <c r="A371" s="3230" t="s">
        <v>3170</v>
      </c>
      <c r="B371" s="3230" t="s">
        <v>229</v>
      </c>
      <c r="C371" s="3230">
        <v>2460</v>
      </c>
      <c r="D371" s="3230">
        <v>2420</v>
      </c>
      <c r="E371" s="3230">
        <v>2370</v>
      </c>
      <c r="F371" s="3230">
        <v>560</v>
      </c>
      <c r="G371" s="3243">
        <v>1470</v>
      </c>
    </row>
    <row r="372" spans="1:7" s="3223" customFormat="1">
      <c r="A372" s="3230" t="s">
        <v>3170</v>
      </c>
      <c r="B372" s="3230" t="s">
        <v>3178</v>
      </c>
      <c r="C372" s="3230">
        <v>2250</v>
      </c>
      <c r="D372" s="3230">
        <v>2210</v>
      </c>
      <c r="E372" s="3230">
        <v>2180</v>
      </c>
      <c r="F372" s="3230">
        <v>550</v>
      </c>
      <c r="G372" s="3243">
        <v>1340</v>
      </c>
    </row>
    <row r="373" spans="1:7" s="3223" customFormat="1">
      <c r="A373" s="3230" t="s">
        <v>3170</v>
      </c>
      <c r="B373" s="3230" t="s">
        <v>258</v>
      </c>
      <c r="C373" s="3230">
        <v>2210</v>
      </c>
      <c r="D373" s="3230">
        <v>2190</v>
      </c>
      <c r="E373" s="3230">
        <v>2150</v>
      </c>
      <c r="F373" s="3230">
        <v>530</v>
      </c>
      <c r="G373" s="3243">
        <v>1320</v>
      </c>
    </row>
    <row r="374" spans="1:7" s="3223" customFormat="1">
      <c r="A374" s="3230" t="s">
        <v>3170</v>
      </c>
      <c r="B374" s="3230" t="s">
        <v>266</v>
      </c>
      <c r="C374" s="3230">
        <v>2320</v>
      </c>
      <c r="D374" s="3230">
        <v>2280</v>
      </c>
      <c r="E374" s="3230">
        <v>2230</v>
      </c>
      <c r="F374" s="3230">
        <v>580</v>
      </c>
      <c r="G374" s="3243">
        <v>1380</v>
      </c>
    </row>
    <row r="375" spans="1:7" s="3223" customFormat="1">
      <c r="A375" s="3230" t="s">
        <v>3170</v>
      </c>
      <c r="B375" s="3230" t="s">
        <v>3179</v>
      </c>
      <c r="C375" s="3230">
        <v>2090</v>
      </c>
      <c r="D375" s="3230">
        <v>2050</v>
      </c>
      <c r="E375" s="3230">
        <v>2020</v>
      </c>
      <c r="F375" s="3230">
        <v>520</v>
      </c>
      <c r="G375" s="3243">
        <v>1240</v>
      </c>
    </row>
    <row r="376" spans="1:7" s="3223" customFormat="1">
      <c r="A376" s="3230" t="s">
        <v>3170</v>
      </c>
      <c r="B376" s="3230" t="s">
        <v>277</v>
      </c>
      <c r="C376" s="3230">
        <v>2010</v>
      </c>
      <c r="D376" s="3230">
        <v>1980</v>
      </c>
      <c r="E376" s="3230">
        <v>1940</v>
      </c>
      <c r="F376" s="3230">
        <v>540</v>
      </c>
      <c r="G376" s="3243">
        <v>1190</v>
      </c>
    </row>
    <row r="377" spans="1:7" s="3223" customFormat="1" ht="12.75" thickBot="1">
      <c r="A377" s="3238" t="s">
        <v>3170</v>
      </c>
      <c r="B377" s="3241" t="s">
        <v>2932</v>
      </c>
      <c r="C377" s="3241">
        <v>1930</v>
      </c>
      <c r="D377" s="3241">
        <v>1890</v>
      </c>
      <c r="E377" s="3241">
        <v>1860</v>
      </c>
      <c r="F377" s="3241">
        <v>530</v>
      </c>
      <c r="G377" s="3246">
        <v>1150</v>
      </c>
    </row>
    <row r="378" spans="1:7" s="3223" customFormat="1">
      <c r="A378" s="3247" t="s">
        <v>3180</v>
      </c>
      <c r="B378" s="3226" t="s">
        <v>3181</v>
      </c>
      <c r="C378" s="3226">
        <v>1520</v>
      </c>
      <c r="D378" s="3226">
        <v>1490</v>
      </c>
      <c r="E378" s="3226">
        <v>1460</v>
      </c>
      <c r="F378" s="3226">
        <v>460</v>
      </c>
      <c r="G378" s="3242">
        <v>940</v>
      </c>
    </row>
    <row r="379" spans="1:7" s="3223" customFormat="1">
      <c r="A379" s="3248" t="s">
        <v>3180</v>
      </c>
      <c r="B379" s="3230" t="s">
        <v>3182</v>
      </c>
      <c r="C379" s="3230">
        <v>1500</v>
      </c>
      <c r="D379" s="3230">
        <v>1470</v>
      </c>
      <c r="E379" s="3230">
        <v>1430</v>
      </c>
      <c r="F379" s="3230">
        <v>460</v>
      </c>
      <c r="G379" s="3243">
        <v>920</v>
      </c>
    </row>
    <row r="380" spans="1:7" s="3223" customFormat="1">
      <c r="A380" s="3248" t="s">
        <v>3180</v>
      </c>
      <c r="B380" s="3230" t="s">
        <v>3183</v>
      </c>
      <c r="C380" s="3230">
        <v>1620</v>
      </c>
      <c r="D380" s="3230">
        <v>1590</v>
      </c>
      <c r="E380" s="3230">
        <v>1560</v>
      </c>
      <c r="F380" s="3230">
        <v>480</v>
      </c>
      <c r="G380" s="3243">
        <v>1000</v>
      </c>
    </row>
    <row r="381" spans="1:7" s="3223" customFormat="1">
      <c r="A381" s="3248" t="s">
        <v>3180</v>
      </c>
      <c r="B381" s="3230" t="s">
        <v>3184</v>
      </c>
      <c r="C381" s="3230">
        <v>1460</v>
      </c>
      <c r="D381" s="3230">
        <v>1430</v>
      </c>
      <c r="E381" s="3230">
        <v>1390</v>
      </c>
      <c r="F381" s="3230">
        <v>450</v>
      </c>
      <c r="G381" s="3243">
        <v>900</v>
      </c>
    </row>
    <row r="382" spans="1:7" s="3223" customFormat="1">
      <c r="A382" s="3248" t="s">
        <v>3180</v>
      </c>
      <c r="B382" s="3230" t="s">
        <v>3185</v>
      </c>
      <c r="C382" s="3230">
        <v>1310</v>
      </c>
      <c r="D382" s="3230">
        <v>1280</v>
      </c>
      <c r="E382" s="3230">
        <v>1250</v>
      </c>
      <c r="F382" s="3230">
        <v>440</v>
      </c>
      <c r="G382" s="3243">
        <v>800</v>
      </c>
    </row>
    <row r="383" spans="1:7" s="3223" customFormat="1">
      <c r="A383" s="3248" t="s">
        <v>3180</v>
      </c>
      <c r="B383" s="3230" t="s">
        <v>3186</v>
      </c>
      <c r="C383" s="3230">
        <v>1260</v>
      </c>
      <c r="D383" s="3230">
        <v>1230</v>
      </c>
      <c r="E383" s="3230">
        <v>1200</v>
      </c>
      <c r="F383" s="3230">
        <v>420</v>
      </c>
      <c r="G383" s="3243">
        <v>770</v>
      </c>
    </row>
    <row r="384" spans="1:7" s="3223" customFormat="1" ht="12.75" thickBot="1">
      <c r="A384" s="3249" t="s">
        <v>3180</v>
      </c>
      <c r="B384" s="3237" t="s">
        <v>3187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4.25"/>
  <cols>
    <col min="1" max="1" width="12.625" style="3286" customWidth="1"/>
    <col min="2" max="2" width="20" style="3286" customWidth="1"/>
    <col min="3" max="7" width="8.875" style="3250"/>
    <col min="8" max="16384" width="8.875" style="3251"/>
  </cols>
  <sheetData>
    <row r="1" spans="1:7">
      <c r="A1" s="3810" t="s">
        <v>3188</v>
      </c>
      <c r="B1" s="3810"/>
    </row>
    <row r="2" spans="1:7" ht="15" thickBot="1">
      <c r="A2" s="3252"/>
      <c r="B2" s="3252"/>
    </row>
    <row r="3" spans="1:7" ht="15" thickBot="1">
      <c r="A3" s="3252"/>
      <c r="B3" s="3252"/>
      <c r="C3" s="3253" t="s">
        <v>2814</v>
      </c>
      <c r="D3" s="3253" t="s">
        <v>2874</v>
      </c>
      <c r="E3" s="3253" t="s">
        <v>2816</v>
      </c>
      <c r="F3" s="3253" t="s">
        <v>2875</v>
      </c>
      <c r="G3" s="3253" t="s">
        <v>2634</v>
      </c>
    </row>
    <row r="4" spans="1:7" ht="15" thickBot="1">
      <c r="A4" s="3254" t="s">
        <v>2873</v>
      </c>
      <c r="B4" s="3255" t="s">
        <v>2879</v>
      </c>
      <c r="C4" s="3253"/>
      <c r="D4" s="3253"/>
      <c r="E4" s="3253"/>
      <c r="F4" s="3253"/>
      <c r="G4" s="3253"/>
    </row>
    <row r="5" spans="1:7">
      <c r="A5" s="3256" t="s">
        <v>2847</v>
      </c>
      <c r="B5" s="3257" t="s">
        <v>2861</v>
      </c>
      <c r="C5" s="3258">
        <v>9.8000000000000004E-2</v>
      </c>
      <c r="D5" s="3258">
        <v>8.6999999999999994E-2</v>
      </c>
      <c r="E5" s="3258">
        <v>8.6999999999999994E-2</v>
      </c>
      <c r="F5" s="3258">
        <v>9.8000000000000004E-2</v>
      </c>
      <c r="G5" s="3259">
        <v>9.5000000000000001E-2</v>
      </c>
    </row>
    <row r="6" spans="1:7">
      <c r="A6" s="3260" t="s">
        <v>144</v>
      </c>
      <c r="B6" s="3261" t="s">
        <v>2876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2862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2930</v>
      </c>
      <c r="C29" s="3270"/>
      <c r="D29" s="3266">
        <v>5.1999999999999998E-2</v>
      </c>
      <c r="E29" s="3266">
        <v>7.0000000000000007E-2</v>
      </c>
      <c r="F29" s="3270"/>
      <c r="G29" s="3268">
        <v>7.0999999999999994E-2</v>
      </c>
    </row>
    <row r="30" spans="1:7">
      <c r="A30" s="3271" t="s">
        <v>296</v>
      </c>
      <c r="B30" s="3257" t="s">
        <v>2863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2933</v>
      </c>
      <c r="C50" s="3262">
        <v>9.8000000000000004E-2</v>
      </c>
      <c r="D50" s="3262">
        <v>7.2999999999999995E-2</v>
      </c>
      <c r="E50" s="3262">
        <v>7.0999999999999994E-2</v>
      </c>
      <c r="F50" s="3273"/>
      <c r="G50" s="3263">
        <v>7.2999999999999995E-2</v>
      </c>
    </row>
    <row r="51" spans="1:7">
      <c r="A51" s="3272" t="s">
        <v>296</v>
      </c>
      <c r="B51" s="3261" t="s">
        <v>2935</v>
      </c>
      <c r="C51" s="3262">
        <v>9.9000000000000005E-2</v>
      </c>
      <c r="D51" s="3262">
        <v>8.5000000000000006E-2</v>
      </c>
      <c r="E51" s="3262">
        <v>6.3E-2</v>
      </c>
      <c r="F51" s="3273"/>
      <c r="G51" s="3263">
        <v>9.6000000000000002E-2</v>
      </c>
    </row>
    <row r="52" spans="1:7">
      <c r="A52" s="3272" t="s">
        <v>296</v>
      </c>
      <c r="B52" s="3261" t="s">
        <v>2939</v>
      </c>
      <c r="C52" s="3262">
        <v>7.3999999999999996E-2</v>
      </c>
      <c r="D52" s="3262">
        <v>9.6000000000000002E-2</v>
      </c>
      <c r="E52" s="3262">
        <v>0.05</v>
      </c>
      <c r="F52" s="3273"/>
      <c r="G52" s="3263">
        <v>9.8000000000000004E-2</v>
      </c>
    </row>
    <row r="53" spans="1:7">
      <c r="A53" s="3272" t="s">
        <v>296</v>
      </c>
      <c r="B53" s="3261" t="s">
        <v>2944</v>
      </c>
      <c r="C53" s="3262">
        <v>8.5999999999999993E-2</v>
      </c>
      <c r="D53" s="3273"/>
      <c r="E53" s="3262">
        <v>9.1999999999999998E-2</v>
      </c>
      <c r="F53" s="3273"/>
      <c r="G53" s="3274"/>
    </row>
    <row r="54" spans="1:7" ht="15" thickBot="1">
      <c r="A54" s="3275" t="s">
        <v>296</v>
      </c>
      <c r="B54" s="3265" t="s">
        <v>2947</v>
      </c>
      <c r="C54" s="3266">
        <v>9.6000000000000002E-2</v>
      </c>
      <c r="D54" s="3267"/>
      <c r="E54" s="3276"/>
      <c r="F54" s="3267"/>
      <c r="G54" s="3277"/>
    </row>
    <row r="55" spans="1:7">
      <c r="A55" s="3271" t="s">
        <v>110</v>
      </c>
      <c r="B55" s="3257" t="s">
        <v>2864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2945</v>
      </c>
      <c r="C78" s="3262">
        <v>0.1</v>
      </c>
      <c r="D78" s="3262">
        <v>8.5000000000000006E-2</v>
      </c>
      <c r="E78" s="3262">
        <v>9.6000000000000002E-2</v>
      </c>
      <c r="F78" s="3273"/>
      <c r="G78" s="3263">
        <v>9.6000000000000002E-2</v>
      </c>
    </row>
    <row r="79" spans="1:7">
      <c r="A79" s="3272" t="s">
        <v>110</v>
      </c>
      <c r="B79" s="3261" t="s">
        <v>2948</v>
      </c>
      <c r="C79" s="3262">
        <v>0.05</v>
      </c>
      <c r="D79" s="3262">
        <v>9.6000000000000002E-2</v>
      </c>
      <c r="E79" s="3262">
        <v>9.5000000000000001E-2</v>
      </c>
      <c r="F79" s="3273"/>
      <c r="G79" s="3263">
        <v>9.8000000000000004E-2</v>
      </c>
    </row>
    <row r="80" spans="1:7">
      <c r="A80" s="3272" t="s">
        <v>110</v>
      </c>
      <c r="B80" s="3261" t="s">
        <v>2952</v>
      </c>
      <c r="C80" s="3262">
        <v>8.5999999999999993E-2</v>
      </c>
      <c r="D80" s="3278"/>
      <c r="E80" s="3262">
        <v>0.1</v>
      </c>
      <c r="F80" s="3273"/>
      <c r="G80" s="3274"/>
    </row>
    <row r="81" spans="1:7">
      <c r="A81" s="3272" t="s">
        <v>110</v>
      </c>
      <c r="B81" s="3261" t="s">
        <v>2957</v>
      </c>
      <c r="C81" s="3262">
        <v>9.6000000000000002E-2</v>
      </c>
      <c r="D81" s="3273"/>
      <c r="E81" s="3262">
        <v>9.8000000000000004E-2</v>
      </c>
      <c r="F81" s="3273"/>
      <c r="G81" s="3274"/>
    </row>
    <row r="82" spans="1:7">
      <c r="A82" s="3272" t="s">
        <v>110</v>
      </c>
      <c r="B82" s="3261" t="s">
        <v>2964</v>
      </c>
      <c r="C82" s="3278"/>
      <c r="D82" s="3273"/>
      <c r="E82" s="3262">
        <v>7.6999999999999999E-2</v>
      </c>
      <c r="F82" s="3273"/>
      <c r="G82" s="3274"/>
    </row>
    <row r="83" spans="1:7">
      <c r="A83" s="3272" t="s">
        <v>110</v>
      </c>
      <c r="B83" s="3261" t="s">
        <v>2970</v>
      </c>
      <c r="C83" s="3273"/>
      <c r="D83" s="3273"/>
      <c r="E83" s="3273"/>
      <c r="F83" s="3262">
        <v>0.1</v>
      </c>
      <c r="G83" s="3279"/>
    </row>
    <row r="84" spans="1:7">
      <c r="A84" s="3272" t="s">
        <v>110</v>
      </c>
      <c r="B84" s="3261" t="s">
        <v>2977</v>
      </c>
      <c r="C84" s="3273"/>
      <c r="D84" s="3273"/>
      <c r="E84" s="3273"/>
      <c r="F84" s="3262">
        <v>0.1</v>
      </c>
      <c r="G84" s="3279"/>
    </row>
    <row r="85" spans="1:7">
      <c r="A85" s="3272" t="s">
        <v>110</v>
      </c>
      <c r="B85" s="3261" t="s">
        <v>2984</v>
      </c>
      <c r="C85" s="3273"/>
      <c r="D85" s="3273"/>
      <c r="E85" s="3273"/>
      <c r="F85" s="3262">
        <v>0.1</v>
      </c>
      <c r="G85" s="3279"/>
    </row>
    <row r="86" spans="1:7" ht="15" thickBot="1">
      <c r="A86" s="3275" t="s">
        <v>110</v>
      </c>
      <c r="B86" s="3265" t="s">
        <v>2989</v>
      </c>
      <c r="C86" s="3266">
        <v>9.8000000000000004E-2</v>
      </c>
      <c r="D86" s="3266">
        <v>9.8000000000000004E-2</v>
      </c>
      <c r="E86" s="3266">
        <v>9.6000000000000002E-2</v>
      </c>
      <c r="F86" s="3276"/>
      <c r="G86" s="3268">
        <v>0.1</v>
      </c>
    </row>
    <row r="87" spans="1:7">
      <c r="A87" s="3271" t="s">
        <v>303</v>
      </c>
      <c r="B87" s="3257" t="s">
        <v>2865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2958</v>
      </c>
      <c r="C113" s="3262">
        <v>0.1</v>
      </c>
      <c r="D113" s="3262">
        <v>0.1</v>
      </c>
      <c r="E113" s="3273"/>
      <c r="F113" s="3273"/>
      <c r="G113" s="3263">
        <v>0.1</v>
      </c>
    </row>
    <row r="114" spans="1:7">
      <c r="A114" s="3272" t="s">
        <v>303</v>
      </c>
      <c r="B114" s="3261" t="s">
        <v>2965</v>
      </c>
      <c r="C114" s="3262">
        <v>9.7000000000000003E-2</v>
      </c>
      <c r="D114" s="3262">
        <v>9.7000000000000003E-2</v>
      </c>
      <c r="E114" s="3273"/>
      <c r="F114" s="3273"/>
      <c r="G114" s="3263">
        <v>9.9000000000000005E-2</v>
      </c>
    </row>
    <row r="115" spans="1:7">
      <c r="A115" s="3272" t="s">
        <v>303</v>
      </c>
      <c r="B115" s="3261" t="s">
        <v>2971</v>
      </c>
      <c r="C115" s="3262">
        <v>0.1</v>
      </c>
      <c r="D115" s="3262">
        <v>0.1</v>
      </c>
      <c r="E115" s="3273"/>
      <c r="F115" s="3273"/>
      <c r="G115" s="3263">
        <v>0.1</v>
      </c>
    </row>
    <row r="116" spans="1:7">
      <c r="A116" s="3272" t="s">
        <v>303</v>
      </c>
      <c r="B116" s="3261" t="s">
        <v>2978</v>
      </c>
      <c r="C116" s="3262">
        <v>0.1</v>
      </c>
      <c r="D116" s="3262">
        <v>0.1</v>
      </c>
      <c r="E116" s="3273"/>
      <c r="F116" s="3273"/>
      <c r="G116" s="3263">
        <v>0.1</v>
      </c>
    </row>
    <row r="117" spans="1:7">
      <c r="A117" s="3272" t="s">
        <v>303</v>
      </c>
      <c r="B117" s="3261" t="s">
        <v>2985</v>
      </c>
      <c r="C117" s="3262">
        <v>9.7000000000000003E-2</v>
      </c>
      <c r="D117" s="3262">
        <v>9.7000000000000003E-2</v>
      </c>
      <c r="E117" s="3273"/>
      <c r="F117" s="3273"/>
      <c r="G117" s="3263">
        <v>9.7000000000000003E-2</v>
      </c>
    </row>
    <row r="118" spans="1:7">
      <c r="A118" s="3272" t="s">
        <v>303</v>
      </c>
      <c r="B118" s="3261" t="s">
        <v>2990</v>
      </c>
      <c r="C118" s="3262">
        <v>0.1</v>
      </c>
      <c r="D118" s="3262">
        <v>0.1</v>
      </c>
      <c r="E118" s="3273"/>
      <c r="F118" s="3273"/>
      <c r="G118" s="3263">
        <v>0.1</v>
      </c>
    </row>
    <row r="119" spans="1:7">
      <c r="A119" s="3272" t="s">
        <v>303</v>
      </c>
      <c r="B119" s="3261" t="s">
        <v>2994</v>
      </c>
      <c r="C119" s="3262">
        <v>5.0999999999999997E-2</v>
      </c>
      <c r="D119" s="3262">
        <v>5.1999999999999998E-2</v>
      </c>
      <c r="E119" s="3273"/>
      <c r="F119" s="3278"/>
      <c r="G119" s="3263">
        <v>0.06</v>
      </c>
    </row>
    <row r="120" spans="1:7">
      <c r="A120" s="3272" t="s">
        <v>303</v>
      </c>
      <c r="B120" s="3261" t="s">
        <v>2998</v>
      </c>
      <c r="C120" s="3273"/>
      <c r="D120" s="3273"/>
      <c r="E120" s="3273"/>
      <c r="F120" s="3262">
        <v>0.1</v>
      </c>
      <c r="G120" s="3279"/>
    </row>
    <row r="121" spans="1:7">
      <c r="A121" s="3272" t="s">
        <v>303</v>
      </c>
      <c r="B121" s="3261" t="s">
        <v>3003</v>
      </c>
      <c r="C121" s="3273"/>
      <c r="D121" s="3273"/>
      <c r="E121" s="3273"/>
      <c r="F121" s="3262">
        <v>0.1</v>
      </c>
      <c r="G121" s="3279"/>
    </row>
    <row r="122" spans="1:7">
      <c r="A122" s="3272" t="s">
        <v>303</v>
      </c>
      <c r="B122" s="3261" t="s">
        <v>3008</v>
      </c>
      <c r="C122" s="3262">
        <v>0.1</v>
      </c>
      <c r="D122" s="3262">
        <v>0.1</v>
      </c>
      <c r="E122" s="3262">
        <v>9.8000000000000004E-2</v>
      </c>
      <c r="F122" s="3262">
        <v>0.1</v>
      </c>
      <c r="G122" s="3263">
        <v>0.1</v>
      </c>
    </row>
    <row r="123" spans="1:7">
      <c r="A123" s="3272" t="s">
        <v>303</v>
      </c>
      <c r="B123" s="3261" t="s">
        <v>3013</v>
      </c>
      <c r="C123" s="3262">
        <v>0.1</v>
      </c>
      <c r="D123" s="3262">
        <v>0.1</v>
      </c>
      <c r="E123" s="3262">
        <v>9.8000000000000004E-2</v>
      </c>
      <c r="F123" s="3262">
        <v>0.1</v>
      </c>
      <c r="G123" s="3263">
        <v>0.1</v>
      </c>
    </row>
    <row r="124" spans="1:7">
      <c r="A124" s="3272" t="s">
        <v>303</v>
      </c>
      <c r="B124" s="3261" t="s">
        <v>3018</v>
      </c>
      <c r="C124" s="3262">
        <v>0.1</v>
      </c>
      <c r="D124" s="3262">
        <v>0.1</v>
      </c>
      <c r="E124" s="3262">
        <v>9.8000000000000004E-2</v>
      </c>
      <c r="F124" s="3278"/>
      <c r="G124" s="3263">
        <v>0.1</v>
      </c>
    </row>
    <row r="125" spans="1:7">
      <c r="A125" s="3272" t="s">
        <v>303</v>
      </c>
      <c r="B125" s="3261" t="s">
        <v>3023</v>
      </c>
      <c r="C125" s="3262">
        <v>9.8000000000000004E-2</v>
      </c>
      <c r="D125" s="3262">
        <v>9.8000000000000004E-2</v>
      </c>
      <c r="E125" s="3262">
        <v>9.6000000000000002E-2</v>
      </c>
      <c r="F125" s="3278"/>
      <c r="G125" s="3263">
        <v>0.1</v>
      </c>
    </row>
    <row r="126" spans="1:7" ht="15" thickBot="1">
      <c r="A126" s="3275" t="s">
        <v>303</v>
      </c>
      <c r="B126" s="3265" t="s">
        <v>3189</v>
      </c>
      <c r="C126" s="3266">
        <v>0.1</v>
      </c>
      <c r="D126" s="3266">
        <v>0.1</v>
      </c>
      <c r="E126" s="3266">
        <v>9.8000000000000004E-2</v>
      </c>
      <c r="F126" s="3266">
        <v>0.1</v>
      </c>
      <c r="G126" s="3268">
        <v>0.1</v>
      </c>
    </row>
    <row r="127" spans="1:7">
      <c r="A127" s="3271" t="s">
        <v>29</v>
      </c>
      <c r="B127" s="3257" t="s">
        <v>2866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2936</v>
      </c>
      <c r="C148" s="3262">
        <v>0.13</v>
      </c>
      <c r="D148" s="3262">
        <v>0.13</v>
      </c>
      <c r="E148" s="3262">
        <v>0.13</v>
      </c>
      <c r="F148" s="3273"/>
      <c r="G148" s="3263">
        <v>0.13</v>
      </c>
    </row>
    <row r="149" spans="1:7">
      <c r="A149" s="3272" t="s">
        <v>29</v>
      </c>
      <c r="B149" s="3261" t="s">
        <v>2940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2959</v>
      </c>
      <c r="C153" s="3262">
        <v>0.13</v>
      </c>
      <c r="D153" s="3262">
        <v>0.13</v>
      </c>
      <c r="E153" s="3262">
        <v>0.13</v>
      </c>
      <c r="F153" s="3262">
        <v>0.13</v>
      </c>
      <c r="G153" s="3263">
        <v>0.13</v>
      </c>
    </row>
    <row r="154" spans="1:7">
      <c r="A154" s="3272" t="s">
        <v>29</v>
      </c>
      <c r="B154" s="3261" t="s">
        <v>2966</v>
      </c>
      <c r="C154" s="3262">
        <v>0.121</v>
      </c>
      <c r="D154" s="3262">
        <v>0.121</v>
      </c>
      <c r="E154" s="3262">
        <v>0.105</v>
      </c>
      <c r="F154" s="3262">
        <v>0.121</v>
      </c>
      <c r="G154" s="3263">
        <v>0.123</v>
      </c>
    </row>
    <row r="155" spans="1:7">
      <c r="A155" s="3272" t="s">
        <v>29</v>
      </c>
      <c r="B155" s="3261" t="s">
        <v>2972</v>
      </c>
      <c r="C155" s="3262">
        <v>0.1</v>
      </c>
      <c r="D155" s="3262">
        <v>0.1</v>
      </c>
      <c r="E155" s="3262">
        <v>0.1</v>
      </c>
      <c r="F155" s="3262">
        <v>0.1</v>
      </c>
      <c r="G155" s="3263">
        <v>0.1</v>
      </c>
    </row>
    <row r="156" spans="1:7">
      <c r="A156" s="3272" t="s">
        <v>29</v>
      </c>
      <c r="B156" s="3261" t="s">
        <v>2979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2999</v>
      </c>
      <c r="C160" s="3262">
        <v>0.13</v>
      </c>
      <c r="D160" s="3262">
        <v>0.13</v>
      </c>
      <c r="E160" s="3262">
        <v>0.124</v>
      </c>
      <c r="F160" s="3262">
        <v>0.126</v>
      </c>
      <c r="G160" s="3263">
        <v>0.13</v>
      </c>
    </row>
    <row r="161" spans="1:7">
      <c r="A161" s="3272" t="s">
        <v>29</v>
      </c>
      <c r="B161" s="3261" t="s">
        <v>3004</v>
      </c>
      <c r="C161" s="3262">
        <v>0.13</v>
      </c>
      <c r="D161" s="3262">
        <v>0.13</v>
      </c>
      <c r="E161" s="3262">
        <v>0.124</v>
      </c>
      <c r="F161" s="3262">
        <v>0.127</v>
      </c>
      <c r="G161" s="3263">
        <v>0.13</v>
      </c>
    </row>
    <row r="162" spans="1:7">
      <c r="A162" s="3272" t="s">
        <v>29</v>
      </c>
      <c r="B162" s="3261" t="s">
        <v>3009</v>
      </c>
      <c r="C162" s="3262">
        <v>0.1</v>
      </c>
      <c r="D162" s="3262">
        <v>0.1</v>
      </c>
      <c r="E162" s="3262">
        <v>0.1</v>
      </c>
      <c r="F162" s="3262">
        <v>0.121</v>
      </c>
      <c r="G162" s="3263">
        <v>0.105</v>
      </c>
    </row>
    <row r="163" spans="1:7">
      <c r="A163" s="3272" t="s">
        <v>29</v>
      </c>
      <c r="B163" s="3261" t="s">
        <v>3014</v>
      </c>
      <c r="C163" s="3262">
        <v>0.1</v>
      </c>
      <c r="D163" s="3262">
        <v>0.1</v>
      </c>
      <c r="E163" s="3262">
        <v>0.1</v>
      </c>
      <c r="F163" s="3262">
        <v>0.1</v>
      </c>
      <c r="G163" s="3263">
        <v>0.1</v>
      </c>
    </row>
    <row r="164" spans="1:7">
      <c r="A164" s="3272" t="s">
        <v>29</v>
      </c>
      <c r="B164" s="3261" t="s">
        <v>3019</v>
      </c>
      <c r="C164" s="3278"/>
      <c r="D164" s="3278"/>
      <c r="E164" s="3278"/>
      <c r="F164" s="3262">
        <v>0.1</v>
      </c>
      <c r="G164" s="3274"/>
    </row>
    <row r="165" spans="1:7">
      <c r="A165" s="3272" t="s">
        <v>29</v>
      </c>
      <c r="B165" s="3261" t="s">
        <v>3190</v>
      </c>
      <c r="C165" s="3262">
        <v>0.126</v>
      </c>
      <c r="D165" s="3262">
        <v>0.126</v>
      </c>
      <c r="E165" s="3262">
        <v>0.11899999999999999</v>
      </c>
      <c r="F165" s="3262">
        <v>0.13</v>
      </c>
      <c r="G165" s="3263">
        <v>0.128</v>
      </c>
    </row>
    <row r="166" spans="1:7">
      <c r="A166" s="3272" t="s">
        <v>29</v>
      </c>
      <c r="B166" s="3261" t="s">
        <v>3029</v>
      </c>
      <c r="C166" s="3262">
        <v>0.129</v>
      </c>
      <c r="D166" s="3262">
        <v>0.129</v>
      </c>
      <c r="E166" s="3262">
        <v>0.123</v>
      </c>
      <c r="F166" s="3262">
        <v>0.128</v>
      </c>
      <c r="G166" s="3263">
        <v>0.13</v>
      </c>
    </row>
    <row r="167" spans="1:7">
      <c r="A167" s="3272" t="s">
        <v>29</v>
      </c>
      <c r="B167" s="3261" t="s">
        <v>3033</v>
      </c>
      <c r="C167" s="3262">
        <v>0.125</v>
      </c>
      <c r="D167" s="3262">
        <v>0.125</v>
      </c>
      <c r="E167" s="3262">
        <v>0.11700000000000001</v>
      </c>
      <c r="F167" s="3262">
        <v>0.13</v>
      </c>
      <c r="G167" s="3263">
        <v>0.126</v>
      </c>
    </row>
    <row r="168" spans="1:7">
      <c r="A168" s="3272" t="s">
        <v>29</v>
      </c>
      <c r="B168" s="3261" t="s">
        <v>3038</v>
      </c>
      <c r="C168" s="3262">
        <v>0.128</v>
      </c>
      <c r="D168" s="3262">
        <v>0.128</v>
      </c>
      <c r="E168" s="3262">
        <v>0.123</v>
      </c>
      <c r="F168" s="3273"/>
      <c r="G168" s="3263">
        <v>0.13</v>
      </c>
    </row>
    <row r="169" spans="1:7">
      <c r="A169" s="3272" t="s">
        <v>29</v>
      </c>
      <c r="B169" s="3261" t="s">
        <v>3191</v>
      </c>
      <c r="C169" s="3278"/>
      <c r="D169" s="3278"/>
      <c r="E169" s="3278"/>
      <c r="F169" s="3262">
        <v>0.05</v>
      </c>
      <c r="G169" s="3274"/>
    </row>
    <row r="170" spans="1:7">
      <c r="A170" s="3272" t="s">
        <v>29</v>
      </c>
      <c r="B170" s="3261" t="s">
        <v>3192</v>
      </c>
      <c r="C170" s="3278"/>
      <c r="D170" s="3278"/>
      <c r="E170" s="3278"/>
      <c r="F170" s="3262">
        <v>0.05</v>
      </c>
      <c r="G170" s="3274"/>
    </row>
    <row r="171" spans="1:7">
      <c r="A171" s="3272" t="s">
        <v>29</v>
      </c>
      <c r="B171" s="3261" t="s">
        <v>3193</v>
      </c>
      <c r="C171" s="3278"/>
      <c r="D171" s="3278"/>
      <c r="E171" s="3278"/>
      <c r="F171" s="3262">
        <v>0.05</v>
      </c>
      <c r="G171" s="3279"/>
    </row>
    <row r="172" spans="1:7">
      <c r="A172" s="3272" t="s">
        <v>29</v>
      </c>
      <c r="B172" s="3261" t="s">
        <v>3194</v>
      </c>
      <c r="C172" s="3278"/>
      <c r="D172" s="3278"/>
      <c r="E172" s="3278"/>
      <c r="F172" s="3262">
        <v>0.05</v>
      </c>
      <c r="G172" s="3279"/>
    </row>
    <row r="173" spans="1:7">
      <c r="A173" s="3272" t="s">
        <v>29</v>
      </c>
      <c r="B173" s="3261" t="s">
        <v>3195</v>
      </c>
      <c r="C173" s="3278"/>
      <c r="D173" s="3278"/>
      <c r="E173" s="3278"/>
      <c r="F173" s="3262">
        <v>0.05</v>
      </c>
      <c r="G173" s="3274"/>
    </row>
    <row r="174" spans="1:7">
      <c r="A174" s="3272" t="s">
        <v>29</v>
      </c>
      <c r="B174" s="3261" t="s">
        <v>3196</v>
      </c>
      <c r="C174" s="3278"/>
      <c r="D174" s="3278"/>
      <c r="E174" s="3278"/>
      <c r="F174" s="3262">
        <v>0.05</v>
      </c>
      <c r="G174" s="3274"/>
    </row>
    <row r="175" spans="1:7">
      <c r="A175" s="3272" t="s">
        <v>29</v>
      </c>
      <c r="B175" s="3261" t="s">
        <v>3197</v>
      </c>
      <c r="C175" s="3278"/>
      <c r="D175" s="3278"/>
      <c r="E175" s="3278"/>
      <c r="F175" s="3262">
        <v>0.05</v>
      </c>
      <c r="G175" s="3274"/>
    </row>
    <row r="176" spans="1:7">
      <c r="A176" s="3272" t="s">
        <v>29</v>
      </c>
      <c r="B176" s="3261" t="s">
        <v>3198</v>
      </c>
      <c r="C176" s="3278"/>
      <c r="D176" s="3278"/>
      <c r="E176" s="3278"/>
      <c r="F176" s="3262">
        <v>0.05</v>
      </c>
      <c r="G176" s="3274"/>
    </row>
    <row r="177" spans="1:7">
      <c r="A177" s="3272" t="s">
        <v>29</v>
      </c>
      <c r="B177" s="3261" t="s">
        <v>3199</v>
      </c>
      <c r="C177" s="3273"/>
      <c r="D177" s="3273"/>
      <c r="E177" s="3273"/>
      <c r="F177" s="3262">
        <v>0.05</v>
      </c>
      <c r="G177" s="3279"/>
    </row>
    <row r="178" spans="1:7">
      <c r="A178" s="3272" t="s">
        <v>29</v>
      </c>
      <c r="B178" s="3261" t="s">
        <v>3200</v>
      </c>
      <c r="C178" s="3273"/>
      <c r="D178" s="3273"/>
      <c r="E178" s="3273"/>
      <c r="F178" s="3262">
        <v>0.05</v>
      </c>
      <c r="G178" s="3279"/>
    </row>
    <row r="179" spans="1:7">
      <c r="A179" s="3272" t="s">
        <v>29</v>
      </c>
      <c r="B179" s="3261" t="s">
        <v>3201</v>
      </c>
      <c r="C179" s="3273"/>
      <c r="D179" s="3273"/>
      <c r="E179" s="3273"/>
      <c r="F179" s="3262">
        <v>0.05</v>
      </c>
      <c r="G179" s="3279"/>
    </row>
    <row r="180" spans="1:7">
      <c r="A180" s="3272" t="s">
        <v>29</v>
      </c>
      <c r="B180" s="3261" t="s">
        <v>3202</v>
      </c>
      <c r="C180" s="3273"/>
      <c r="D180" s="3273"/>
      <c r="E180" s="3273"/>
      <c r="F180" s="3262">
        <v>0.05</v>
      </c>
      <c r="G180" s="3279"/>
    </row>
    <row r="181" spans="1:7">
      <c r="A181" s="3272" t="s">
        <v>29</v>
      </c>
      <c r="B181" s="3261" t="s">
        <v>3203</v>
      </c>
      <c r="C181" s="3273"/>
      <c r="D181" s="3273"/>
      <c r="E181" s="3273"/>
      <c r="F181" s="3262">
        <v>0.05</v>
      </c>
      <c r="G181" s="3279"/>
    </row>
    <row r="182" spans="1:7">
      <c r="A182" s="3272" t="s">
        <v>29</v>
      </c>
      <c r="B182" s="3261" t="s">
        <v>3204</v>
      </c>
      <c r="C182" s="3273"/>
      <c r="D182" s="3273"/>
      <c r="E182" s="3273"/>
      <c r="F182" s="3262">
        <v>0.05</v>
      </c>
      <c r="G182" s="3279"/>
    </row>
    <row r="183" spans="1:7">
      <c r="A183" s="3272" t="s">
        <v>29</v>
      </c>
      <c r="B183" s="3261" t="s">
        <v>3205</v>
      </c>
      <c r="C183" s="3273"/>
      <c r="D183" s="3273"/>
      <c r="E183" s="3273"/>
      <c r="F183" s="3262">
        <v>0.05</v>
      </c>
      <c r="G183" s="3279"/>
    </row>
    <row r="184" spans="1:7">
      <c r="A184" s="3272" t="s">
        <v>29</v>
      </c>
      <c r="B184" s="3261" t="s">
        <v>3206</v>
      </c>
      <c r="C184" s="3273"/>
      <c r="D184" s="3273"/>
      <c r="E184" s="3273"/>
      <c r="F184" s="3262">
        <v>0.05</v>
      </c>
      <c r="G184" s="3279"/>
    </row>
    <row r="185" spans="1:7">
      <c r="A185" s="3272" t="s">
        <v>29</v>
      </c>
      <c r="B185" s="3261" t="s">
        <v>3207</v>
      </c>
      <c r="C185" s="3273"/>
      <c r="D185" s="3273"/>
      <c r="E185" s="3273"/>
      <c r="F185" s="3262">
        <v>0.05</v>
      </c>
      <c r="G185" s="3279"/>
    </row>
    <row r="186" spans="1:7">
      <c r="A186" s="3272" t="s">
        <v>29</v>
      </c>
      <c r="B186" s="3261" t="s">
        <v>3208</v>
      </c>
      <c r="C186" s="3273"/>
      <c r="D186" s="3273"/>
      <c r="E186" s="3273"/>
      <c r="F186" s="3262">
        <v>0.05</v>
      </c>
      <c r="G186" s="3279"/>
    </row>
    <row r="187" spans="1:7">
      <c r="A187" s="3272" t="s">
        <v>29</v>
      </c>
      <c r="B187" s="3261" t="s">
        <v>3209</v>
      </c>
      <c r="C187" s="3273"/>
      <c r="D187" s="3273"/>
      <c r="E187" s="3273"/>
      <c r="F187" s="3262">
        <v>0.05</v>
      </c>
      <c r="G187" s="3279"/>
    </row>
    <row r="188" spans="1:7">
      <c r="A188" s="3272" t="s">
        <v>29</v>
      </c>
      <c r="B188" s="3261" t="s">
        <v>3210</v>
      </c>
      <c r="C188" s="3273"/>
      <c r="D188" s="3273"/>
      <c r="E188" s="3273"/>
      <c r="F188" s="3262">
        <v>0.05</v>
      </c>
      <c r="G188" s="3279"/>
    </row>
    <row r="189" spans="1:7" ht="15" thickBot="1">
      <c r="A189" s="3275" t="s">
        <v>29</v>
      </c>
      <c r="B189" s="3265" t="s">
        <v>3211</v>
      </c>
      <c r="C189" s="3267"/>
      <c r="D189" s="3267"/>
      <c r="E189" s="3267"/>
      <c r="F189" s="3266">
        <v>0.05</v>
      </c>
      <c r="G189" s="3280"/>
    </row>
    <row r="190" spans="1:7">
      <c r="A190" s="3271" t="s">
        <v>304</v>
      </c>
      <c r="B190" s="3257" t="s">
        <v>2867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2903</v>
      </c>
      <c r="C199" s="3262">
        <v>0.13</v>
      </c>
      <c r="D199" s="3262">
        <v>0.13</v>
      </c>
      <c r="E199" s="3262">
        <v>0.13</v>
      </c>
      <c r="F199" s="3262">
        <v>0.13</v>
      </c>
      <c r="G199" s="3263">
        <v>0.13</v>
      </c>
    </row>
    <row r="200" spans="1:7">
      <c r="A200" s="3272" t="s">
        <v>304</v>
      </c>
      <c r="B200" s="3261" t="s">
        <v>2906</v>
      </c>
      <c r="C200" s="3278"/>
      <c r="D200" s="3278"/>
      <c r="E200" s="3278"/>
      <c r="F200" s="3262">
        <v>0.13</v>
      </c>
      <c r="G200" s="3274"/>
    </row>
    <row r="201" spans="1:7">
      <c r="A201" s="3272" t="s">
        <v>304</v>
      </c>
      <c r="B201" s="3261" t="s">
        <v>2911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2914</v>
      </c>
      <c r="C203" s="3262">
        <v>0.129</v>
      </c>
      <c r="D203" s="3262">
        <v>0.129</v>
      </c>
      <c r="E203" s="3262">
        <v>0.13</v>
      </c>
      <c r="F203" s="3262">
        <v>0.13</v>
      </c>
      <c r="G203" s="3263">
        <v>0.13</v>
      </c>
    </row>
    <row r="204" spans="1:7">
      <c r="A204" s="3272" t="s">
        <v>304</v>
      </c>
      <c r="B204" s="3261" t="s">
        <v>2917</v>
      </c>
      <c r="C204" s="3262">
        <v>0.129</v>
      </c>
      <c r="D204" s="3262">
        <v>0.129</v>
      </c>
      <c r="E204" s="3262">
        <v>0.123</v>
      </c>
      <c r="F204" s="3262">
        <v>0.13</v>
      </c>
      <c r="G204" s="3263">
        <v>0.13</v>
      </c>
    </row>
    <row r="205" spans="1:7">
      <c r="A205" s="3272" t="s">
        <v>304</v>
      </c>
      <c r="B205" s="3261" t="s">
        <v>2919</v>
      </c>
      <c r="C205" s="3262">
        <v>0.13</v>
      </c>
      <c r="D205" s="3262">
        <v>0.13</v>
      </c>
      <c r="E205" s="3262">
        <v>0.13</v>
      </c>
      <c r="F205" s="3262">
        <v>0.13</v>
      </c>
      <c r="G205" s="3263">
        <v>0.13</v>
      </c>
    </row>
    <row r="206" spans="1:7">
      <c r="A206" s="3272" t="s">
        <v>304</v>
      </c>
      <c r="B206" s="3261" t="s">
        <v>2922</v>
      </c>
      <c r="C206" s="3262">
        <v>0.13</v>
      </c>
      <c r="D206" s="3262">
        <v>0.13</v>
      </c>
      <c r="E206" s="3262">
        <v>0.13</v>
      </c>
      <c r="F206" s="3262">
        <v>0.128</v>
      </c>
      <c r="G206" s="3263">
        <v>0.13</v>
      </c>
    </row>
    <row r="207" spans="1:7">
      <c r="A207" s="3272" t="s">
        <v>304</v>
      </c>
      <c r="B207" s="3261" t="s">
        <v>2924</v>
      </c>
      <c r="C207" s="3262">
        <v>0.13</v>
      </c>
      <c r="D207" s="3262">
        <v>0.13</v>
      </c>
      <c r="E207" s="3262">
        <v>0.13</v>
      </c>
      <c r="F207" s="3262">
        <v>0.13</v>
      </c>
      <c r="G207" s="3263">
        <v>0.13</v>
      </c>
    </row>
    <row r="208" spans="1:7">
      <c r="A208" s="3272" t="s">
        <v>304</v>
      </c>
      <c r="B208" s="3261" t="s">
        <v>2927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2934</v>
      </c>
      <c r="C210" s="3262">
        <v>0.121</v>
      </c>
      <c r="D210" s="3262">
        <v>0.121</v>
      </c>
      <c r="E210" s="3262">
        <v>0.125</v>
      </c>
      <c r="F210" s="3262">
        <v>0.13</v>
      </c>
      <c r="G210" s="3263">
        <v>0.123</v>
      </c>
    </row>
    <row r="211" spans="1:7">
      <c r="A211" s="3272" t="s">
        <v>304</v>
      </c>
      <c r="B211" s="3261" t="s">
        <v>2937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2949</v>
      </c>
      <c r="C214" s="3262">
        <v>0.128</v>
      </c>
      <c r="D214" s="3262">
        <v>0.128</v>
      </c>
      <c r="E214" s="3262">
        <v>0.13</v>
      </c>
      <c r="F214" s="3262">
        <v>0.13</v>
      </c>
      <c r="G214" s="3263">
        <v>0.13</v>
      </c>
    </row>
    <row r="215" spans="1:7">
      <c r="A215" s="3272" t="s">
        <v>304</v>
      </c>
      <c r="B215" s="3261" t="s">
        <v>2953</v>
      </c>
      <c r="C215" s="3262">
        <v>0.13</v>
      </c>
      <c r="D215" s="3262">
        <v>0.13</v>
      </c>
      <c r="E215" s="3262">
        <v>0.13</v>
      </c>
      <c r="F215" s="3262">
        <v>0.129</v>
      </c>
      <c r="G215" s="3263">
        <v>0.13</v>
      </c>
    </row>
    <row r="216" spans="1:7">
      <c r="A216" s="3272" t="s">
        <v>304</v>
      </c>
      <c r="B216" s="3261" t="s">
        <v>2960</v>
      </c>
      <c r="C216" s="3262">
        <v>0.13</v>
      </c>
      <c r="D216" s="3262">
        <v>0.13</v>
      </c>
      <c r="E216" s="3262">
        <v>0.13</v>
      </c>
      <c r="F216" s="3262">
        <v>0.13</v>
      </c>
      <c r="G216" s="3263">
        <v>0.13</v>
      </c>
    </row>
    <row r="217" spans="1:7">
      <c r="A217" s="3272" t="s">
        <v>304</v>
      </c>
      <c r="B217" s="3261" t="s">
        <v>2967</v>
      </c>
      <c r="C217" s="3262">
        <v>0.129</v>
      </c>
      <c r="D217" s="3262">
        <v>0.129</v>
      </c>
      <c r="E217" s="3262">
        <v>0.13</v>
      </c>
      <c r="F217" s="3262">
        <v>0.13</v>
      </c>
      <c r="G217" s="3263">
        <v>0.13</v>
      </c>
    </row>
    <row r="218" spans="1:7">
      <c r="A218" s="3272" t="s">
        <v>304</v>
      </c>
      <c r="B218" s="3261" t="s">
        <v>2973</v>
      </c>
      <c r="C218" s="3273"/>
      <c r="D218" s="3273"/>
      <c r="E218" s="3273"/>
      <c r="F218" s="3262">
        <v>0.05</v>
      </c>
      <c r="G218" s="3279"/>
    </row>
    <row r="219" spans="1:7">
      <c r="A219" s="3272" t="s">
        <v>304</v>
      </c>
      <c r="B219" s="3261" t="s">
        <v>2980</v>
      </c>
      <c r="C219" s="3273"/>
      <c r="D219" s="3273"/>
      <c r="E219" s="3273"/>
      <c r="F219" s="3262">
        <v>0.05</v>
      </c>
      <c r="G219" s="3279"/>
    </row>
    <row r="220" spans="1:7">
      <c r="A220" s="3272" t="s">
        <v>304</v>
      </c>
      <c r="B220" s="3261" t="s">
        <v>2986</v>
      </c>
      <c r="C220" s="3273"/>
      <c r="D220" s="3273"/>
      <c r="E220" s="3273"/>
      <c r="F220" s="3262">
        <v>0.05</v>
      </c>
      <c r="G220" s="3279"/>
    </row>
    <row r="221" spans="1:7">
      <c r="A221" s="3272" t="s">
        <v>304</v>
      </c>
      <c r="B221" s="3261" t="s">
        <v>2991</v>
      </c>
      <c r="C221" s="3273"/>
      <c r="D221" s="3273"/>
      <c r="E221" s="3273"/>
      <c r="F221" s="3262">
        <v>0.05</v>
      </c>
      <c r="G221" s="3279"/>
    </row>
    <row r="222" spans="1:7">
      <c r="A222" s="3272" t="s">
        <v>304</v>
      </c>
      <c r="B222" s="3261" t="s">
        <v>2995</v>
      </c>
      <c r="C222" s="3273"/>
      <c r="D222" s="3273"/>
      <c r="E222" s="3273"/>
      <c r="F222" s="3262">
        <v>0.05</v>
      </c>
      <c r="G222" s="3279"/>
    </row>
    <row r="223" spans="1:7">
      <c r="A223" s="3272" t="s">
        <v>304</v>
      </c>
      <c r="B223" s="3261" t="s">
        <v>3000</v>
      </c>
      <c r="C223" s="3273"/>
      <c r="D223" s="3273"/>
      <c r="E223" s="3273"/>
      <c r="F223" s="3262">
        <v>0.05</v>
      </c>
      <c r="G223" s="3279"/>
    </row>
    <row r="224" spans="1:7">
      <c r="A224" s="3272" t="s">
        <v>304</v>
      </c>
      <c r="B224" s="3261" t="s">
        <v>3005</v>
      </c>
      <c r="C224" s="3273"/>
      <c r="D224" s="3273"/>
      <c r="E224" s="3273"/>
      <c r="F224" s="3262">
        <v>0.05</v>
      </c>
      <c r="G224" s="3279"/>
    </row>
    <row r="225" spans="1:7">
      <c r="A225" s="3272" t="s">
        <v>304</v>
      </c>
      <c r="B225" s="3261" t="s">
        <v>3010</v>
      </c>
      <c r="C225" s="3273"/>
      <c r="D225" s="3273"/>
      <c r="E225" s="3273"/>
      <c r="F225" s="3262">
        <v>0.05</v>
      </c>
      <c r="G225" s="3279"/>
    </row>
    <row r="226" spans="1:7">
      <c r="A226" s="3272" t="s">
        <v>304</v>
      </c>
      <c r="B226" s="3261" t="s">
        <v>3212</v>
      </c>
      <c r="C226" s="3273"/>
      <c r="D226" s="3273"/>
      <c r="E226" s="3273"/>
      <c r="F226" s="3262">
        <v>0.05</v>
      </c>
      <c r="G226" s="3279"/>
    </row>
    <row r="227" spans="1:7">
      <c r="A227" s="3272" t="s">
        <v>304</v>
      </c>
      <c r="B227" s="3261" t="s">
        <v>3213</v>
      </c>
      <c r="C227" s="3273"/>
      <c r="D227" s="3273"/>
      <c r="E227" s="3273"/>
      <c r="F227" s="3262">
        <v>0.05</v>
      </c>
      <c r="G227" s="3279"/>
    </row>
    <row r="228" spans="1:7">
      <c r="A228" s="3272" t="s">
        <v>304</v>
      </c>
      <c r="B228" s="3261" t="s">
        <v>3214</v>
      </c>
      <c r="C228" s="3273"/>
      <c r="D228" s="3273"/>
      <c r="E228" s="3273"/>
      <c r="F228" s="3262">
        <v>0.05</v>
      </c>
      <c r="G228" s="3279"/>
    </row>
    <row r="229" spans="1:7">
      <c r="A229" s="3272" t="s">
        <v>304</v>
      </c>
      <c r="B229" s="3261" t="s">
        <v>3215</v>
      </c>
      <c r="C229" s="3273"/>
      <c r="D229" s="3273"/>
      <c r="E229" s="3273"/>
      <c r="F229" s="3262">
        <v>0.05</v>
      </c>
      <c r="G229" s="3279"/>
    </row>
    <row r="230" spans="1:7">
      <c r="A230" s="3272" t="s">
        <v>304</v>
      </c>
      <c r="B230" s="3261" t="s">
        <v>3216</v>
      </c>
      <c r="C230" s="3273"/>
      <c r="D230" s="3273"/>
      <c r="E230" s="3273"/>
      <c r="F230" s="3262">
        <v>0.05</v>
      </c>
      <c r="G230" s="3279"/>
    </row>
    <row r="231" spans="1:7">
      <c r="A231" s="3272" t="s">
        <v>304</v>
      </c>
      <c r="B231" s="3261" t="s">
        <v>3217</v>
      </c>
      <c r="C231" s="3273"/>
      <c r="D231" s="3273"/>
      <c r="E231" s="3273"/>
      <c r="F231" s="3262">
        <v>0.05</v>
      </c>
      <c r="G231" s="3279"/>
    </row>
    <row r="232" spans="1:7">
      <c r="A232" s="3272" t="s">
        <v>304</v>
      </c>
      <c r="B232" s="3261" t="s">
        <v>3218</v>
      </c>
      <c r="C232" s="3273"/>
      <c r="D232" s="3273"/>
      <c r="E232" s="3273"/>
      <c r="F232" s="3262">
        <v>0.05</v>
      </c>
      <c r="G232" s="3279"/>
    </row>
    <row r="233" spans="1:7" ht="15" thickBot="1">
      <c r="A233" s="3275" t="s">
        <v>304</v>
      </c>
      <c r="B233" s="3265" t="s">
        <v>3219</v>
      </c>
      <c r="C233" s="3267"/>
      <c r="D233" s="3267"/>
      <c r="E233" s="3267"/>
      <c r="F233" s="3266">
        <v>0.05</v>
      </c>
      <c r="G233" s="3280"/>
    </row>
    <row r="234" spans="1:7">
      <c r="A234" s="3271" t="s">
        <v>305</v>
      </c>
      <c r="B234" s="3257" t="s">
        <v>2868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2888</v>
      </c>
      <c r="C238" s="3262">
        <v>0.14899999999999999</v>
      </c>
      <c r="D238" s="3262">
        <v>0.14899999999999999</v>
      </c>
      <c r="E238" s="3262">
        <v>0.15</v>
      </c>
      <c r="F238" s="3262">
        <v>0.15</v>
      </c>
      <c r="G238" s="3263">
        <v>0.15</v>
      </c>
    </row>
    <row r="239" spans="1:7">
      <c r="A239" s="3272" t="s">
        <v>305</v>
      </c>
      <c r="B239" s="3261" t="s">
        <v>2892</v>
      </c>
      <c r="C239" s="3262">
        <v>0.15</v>
      </c>
      <c r="D239" s="3262">
        <v>0.15</v>
      </c>
      <c r="E239" s="3262">
        <v>0.15</v>
      </c>
      <c r="F239" s="3262">
        <v>0.15</v>
      </c>
      <c r="G239" s="3263">
        <v>0.15</v>
      </c>
    </row>
    <row r="240" spans="1:7">
      <c r="A240" s="3272" t="s">
        <v>305</v>
      </c>
      <c r="B240" s="3261" t="s">
        <v>2897</v>
      </c>
      <c r="C240" s="3262">
        <v>0.15</v>
      </c>
      <c r="D240" s="3262">
        <v>0.15</v>
      </c>
      <c r="E240" s="3262">
        <v>0.15</v>
      </c>
      <c r="F240" s="3262">
        <v>0.15</v>
      </c>
      <c r="G240" s="3263">
        <v>0.15</v>
      </c>
    </row>
    <row r="241" spans="1:7">
      <c r="A241" s="3272" t="s">
        <v>305</v>
      </c>
      <c r="B241" s="3261" t="s">
        <v>2901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2920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2950</v>
      </c>
      <c r="C258" s="3262">
        <v>0.14299999999999999</v>
      </c>
      <c r="D258" s="3262">
        <v>0.14299999999999999</v>
      </c>
      <c r="E258" s="3262">
        <v>0.15</v>
      </c>
      <c r="F258" s="3262">
        <v>0.14799999999999999</v>
      </c>
      <c r="G258" s="3263">
        <v>0.14599999999999999</v>
      </c>
    </row>
    <row r="259" spans="1:7">
      <c r="A259" s="3272" t="s">
        <v>305</v>
      </c>
      <c r="B259" s="3261" t="s">
        <v>2954</v>
      </c>
      <c r="C259" s="3262">
        <v>0.14399999999999999</v>
      </c>
      <c r="D259" s="3262">
        <v>0.14399999999999999</v>
      </c>
      <c r="E259" s="3262">
        <v>0.14899999999999999</v>
      </c>
      <c r="F259" s="3262">
        <v>0.14699999999999999</v>
      </c>
      <c r="G259" s="3263">
        <v>0.14599999999999999</v>
      </c>
    </row>
    <row r="260" spans="1:7">
      <c r="A260" s="3272" t="s">
        <v>305</v>
      </c>
      <c r="B260" s="3261" t="s">
        <v>2961</v>
      </c>
      <c r="C260" s="3262">
        <v>0.109</v>
      </c>
      <c r="D260" s="3262">
        <v>0.111</v>
      </c>
      <c r="E260" s="3262">
        <v>0.13100000000000001</v>
      </c>
      <c r="F260" s="3262">
        <v>0.126</v>
      </c>
      <c r="G260" s="3263">
        <v>0.11899999999999999</v>
      </c>
    </row>
    <row r="261" spans="1:7">
      <c r="A261" s="3272" t="s">
        <v>305</v>
      </c>
      <c r="B261" s="3261" t="s">
        <v>2968</v>
      </c>
      <c r="C261" s="3262">
        <v>0.1</v>
      </c>
      <c r="D261" s="3262">
        <v>0.1</v>
      </c>
      <c r="E261" s="3262">
        <v>0.11799999999999999</v>
      </c>
      <c r="F261" s="3262">
        <v>0.108</v>
      </c>
      <c r="G261" s="3263">
        <v>0.107</v>
      </c>
    </row>
    <row r="262" spans="1:7">
      <c r="A262" s="3272" t="s">
        <v>305</v>
      </c>
      <c r="B262" s="3261" t="s">
        <v>2974</v>
      </c>
      <c r="C262" s="3262">
        <v>0.1</v>
      </c>
      <c r="D262" s="3262">
        <v>0.1</v>
      </c>
      <c r="E262" s="3262">
        <v>0.1</v>
      </c>
      <c r="F262" s="3262">
        <v>0.14099999999999999</v>
      </c>
      <c r="G262" s="3263">
        <v>0.1</v>
      </c>
    </row>
    <row r="263" spans="1:7">
      <c r="A263" s="3272" t="s">
        <v>305</v>
      </c>
      <c r="B263" s="3261" t="s">
        <v>2981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2992</v>
      </c>
      <c r="C265" s="3273"/>
      <c r="D265" s="3273"/>
      <c r="E265" s="3273"/>
      <c r="F265" s="3262">
        <v>0.05</v>
      </c>
      <c r="G265" s="3279"/>
    </row>
    <row r="266" spans="1:7">
      <c r="A266" s="3272" t="s">
        <v>305</v>
      </c>
      <c r="B266" s="3261" t="s">
        <v>2996</v>
      </c>
      <c r="C266" s="3273"/>
      <c r="D266" s="3273"/>
      <c r="E266" s="3273"/>
      <c r="F266" s="3262">
        <v>0.05</v>
      </c>
      <c r="G266" s="3279"/>
    </row>
    <row r="267" spans="1:7">
      <c r="A267" s="3272" t="s">
        <v>305</v>
      </c>
      <c r="B267" s="3261" t="s">
        <v>3001</v>
      </c>
      <c r="C267" s="3273"/>
      <c r="D267" s="3273"/>
      <c r="E267" s="3273"/>
      <c r="F267" s="3262">
        <v>0.05</v>
      </c>
      <c r="G267" s="3279"/>
    </row>
    <row r="268" spans="1:7">
      <c r="A268" s="3272" t="s">
        <v>305</v>
      </c>
      <c r="B268" s="3261" t="s">
        <v>3006</v>
      </c>
      <c r="C268" s="3273"/>
      <c r="D268" s="3273"/>
      <c r="E268" s="3273"/>
      <c r="F268" s="3262">
        <v>0.05</v>
      </c>
      <c r="G268" s="3279"/>
    </row>
    <row r="269" spans="1:7">
      <c r="A269" s="3272" t="s">
        <v>305</v>
      </c>
      <c r="B269" s="3261" t="s">
        <v>3011</v>
      </c>
      <c r="C269" s="3273"/>
      <c r="D269" s="3273"/>
      <c r="E269" s="3273"/>
      <c r="F269" s="3262">
        <v>0.05</v>
      </c>
      <c r="G269" s="3279"/>
    </row>
    <row r="270" spans="1:7">
      <c r="A270" s="3272" t="s">
        <v>305</v>
      </c>
      <c r="B270" s="3261" t="s">
        <v>3016</v>
      </c>
      <c r="C270" s="3273"/>
      <c r="D270" s="3273"/>
      <c r="E270" s="3273"/>
      <c r="F270" s="3262">
        <v>0.05</v>
      </c>
      <c r="G270" s="3279"/>
    </row>
    <row r="271" spans="1:7">
      <c r="A271" s="3272" t="s">
        <v>305</v>
      </c>
      <c r="B271" s="3261" t="s">
        <v>3220</v>
      </c>
      <c r="C271" s="3273"/>
      <c r="D271" s="3273"/>
      <c r="E271" s="3273"/>
      <c r="F271" s="3262">
        <v>0.05</v>
      </c>
      <c r="G271" s="3279"/>
    </row>
    <row r="272" spans="1:7">
      <c r="A272" s="3272" t="s">
        <v>305</v>
      </c>
      <c r="B272" s="3261" t="s">
        <v>3221</v>
      </c>
      <c r="C272" s="3273"/>
      <c r="D272" s="3273"/>
      <c r="E272" s="3273"/>
      <c r="F272" s="3262">
        <v>0.05</v>
      </c>
      <c r="G272" s="3279"/>
    </row>
    <row r="273" spans="1:7">
      <c r="A273" s="3272" t="s">
        <v>305</v>
      </c>
      <c r="B273" s="3261" t="s">
        <v>3222</v>
      </c>
      <c r="C273" s="3273"/>
      <c r="D273" s="3273"/>
      <c r="E273" s="3273"/>
      <c r="F273" s="3262">
        <v>0.05</v>
      </c>
      <c r="G273" s="3279"/>
    </row>
    <row r="274" spans="1:7">
      <c r="A274" s="3272" t="s">
        <v>305</v>
      </c>
      <c r="B274" s="3261" t="s">
        <v>3223</v>
      </c>
      <c r="C274" s="3273"/>
      <c r="D274" s="3273"/>
      <c r="E274" s="3273"/>
      <c r="F274" s="3262">
        <v>0.05</v>
      </c>
      <c r="G274" s="3279"/>
    </row>
    <row r="275" spans="1:7">
      <c r="A275" s="3272" t="s">
        <v>305</v>
      </c>
      <c r="B275" s="3261" t="s">
        <v>3224</v>
      </c>
      <c r="C275" s="3273"/>
      <c r="D275" s="3273"/>
      <c r="E275" s="3273"/>
      <c r="F275" s="3262">
        <v>0.05</v>
      </c>
      <c r="G275" s="3279"/>
    </row>
    <row r="276" spans="1:7" ht="15" thickBot="1">
      <c r="A276" s="3275" t="s">
        <v>305</v>
      </c>
      <c r="B276" s="3265" t="s">
        <v>3225</v>
      </c>
      <c r="C276" s="3267"/>
      <c r="D276" s="3267"/>
      <c r="E276" s="3267"/>
      <c r="F276" s="3266">
        <v>0.05</v>
      </c>
      <c r="G276" s="3280"/>
    </row>
    <row r="277" spans="1:7">
      <c r="A277" s="3271" t="s">
        <v>306</v>
      </c>
      <c r="B277" s="3257" t="s">
        <v>2869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2881</v>
      </c>
      <c r="C279" s="3262">
        <v>0.15</v>
      </c>
      <c r="D279" s="3262">
        <v>0.15</v>
      </c>
      <c r="E279" s="3262">
        <v>0.15</v>
      </c>
      <c r="F279" s="3262">
        <v>0.15</v>
      </c>
      <c r="G279" s="3263">
        <v>0.15</v>
      </c>
    </row>
    <row r="280" spans="1:7">
      <c r="A280" s="3272" t="s">
        <v>306</v>
      </c>
      <c r="B280" s="3261" t="s">
        <v>2885</v>
      </c>
      <c r="C280" s="3262">
        <v>0.15</v>
      </c>
      <c r="D280" s="3262">
        <v>0.15</v>
      </c>
      <c r="E280" s="3262">
        <v>0.15</v>
      </c>
      <c r="F280" s="3262">
        <v>0.15</v>
      </c>
      <c r="G280" s="3263">
        <v>0.15</v>
      </c>
    </row>
    <row r="281" spans="1:7">
      <c r="A281" s="3272" t="s">
        <v>306</v>
      </c>
      <c r="B281" s="3261" t="s">
        <v>2889</v>
      </c>
      <c r="C281" s="3262">
        <v>0.15</v>
      </c>
      <c r="D281" s="3262">
        <v>0.15</v>
      </c>
      <c r="E281" s="3262">
        <v>0.15</v>
      </c>
      <c r="F281" s="3262">
        <v>0.15</v>
      </c>
      <c r="G281" s="3263">
        <v>0.15</v>
      </c>
    </row>
    <row r="282" spans="1:7">
      <c r="A282" s="3272" t="s">
        <v>306</v>
      </c>
      <c r="B282" s="3261" t="s">
        <v>2893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2923</v>
      </c>
      <c r="C293" s="3262">
        <v>0.15</v>
      </c>
      <c r="D293" s="3262">
        <v>0.15</v>
      </c>
      <c r="E293" s="3262">
        <v>0.15</v>
      </c>
      <c r="F293" s="3262">
        <v>0.14499999999999999</v>
      </c>
      <c r="G293" s="3263">
        <v>0.15</v>
      </c>
    </row>
    <row r="294" spans="1:7">
      <c r="A294" s="3272" t="s">
        <v>306</v>
      </c>
      <c r="B294" s="3261" t="s">
        <v>2925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2955</v>
      </c>
      <c r="C302" s="3262">
        <v>0.15</v>
      </c>
      <c r="D302" s="3262">
        <v>0.15</v>
      </c>
      <c r="E302" s="3262">
        <v>0.15</v>
      </c>
      <c r="F302" s="3262">
        <v>0.14699999999999999</v>
      </c>
      <c r="G302" s="3263">
        <v>0.15</v>
      </c>
    </row>
    <row r="303" spans="1:7">
      <c r="A303" s="3272" t="s">
        <v>306</v>
      </c>
      <c r="B303" s="3261" t="s">
        <v>2962</v>
      </c>
      <c r="C303" s="3262">
        <v>0.15</v>
      </c>
      <c r="D303" s="3262">
        <v>0.15</v>
      </c>
      <c r="E303" s="3262">
        <v>0.15</v>
      </c>
      <c r="F303" s="3262">
        <v>0.14199999999999999</v>
      </c>
      <c r="G303" s="3263">
        <v>0.15</v>
      </c>
    </row>
    <row r="304" spans="1:7">
      <c r="A304" s="3272" t="s">
        <v>306</v>
      </c>
      <c r="B304" s="3261" t="s">
        <v>2969</v>
      </c>
      <c r="C304" s="3262">
        <v>0.15</v>
      </c>
      <c r="D304" s="3262">
        <v>0.15</v>
      </c>
      <c r="E304" s="3262">
        <v>0.15</v>
      </c>
      <c r="F304" s="3262">
        <v>0.14499999999999999</v>
      </c>
      <c r="G304" s="3263">
        <v>0.15</v>
      </c>
    </row>
    <row r="305" spans="1:7">
      <c r="A305" s="3272" t="s">
        <v>306</v>
      </c>
      <c r="B305" s="3261" t="s">
        <v>2975</v>
      </c>
      <c r="C305" s="3262">
        <v>0.15</v>
      </c>
      <c r="D305" s="3262">
        <v>0.15</v>
      </c>
      <c r="E305" s="3262">
        <v>0.15</v>
      </c>
      <c r="F305" s="3262">
        <v>0.111</v>
      </c>
      <c r="G305" s="3263">
        <v>0.15</v>
      </c>
    </row>
    <row r="306" spans="1:7">
      <c r="A306" s="3272" t="s">
        <v>306</v>
      </c>
      <c r="B306" s="3261" t="s">
        <v>2982</v>
      </c>
      <c r="C306" s="3262">
        <v>0.15</v>
      </c>
      <c r="D306" s="3262">
        <v>0.15</v>
      </c>
      <c r="E306" s="3262">
        <v>0.15</v>
      </c>
      <c r="F306" s="3262">
        <v>0.126</v>
      </c>
      <c r="G306" s="3263">
        <v>0.15</v>
      </c>
    </row>
    <row r="307" spans="1:7">
      <c r="A307" s="3272" t="s">
        <v>306</v>
      </c>
      <c r="B307" s="3261" t="s">
        <v>2987</v>
      </c>
      <c r="C307" s="3262">
        <v>0.15</v>
      </c>
      <c r="D307" s="3262">
        <v>0.15</v>
      </c>
      <c r="E307" s="3262">
        <v>0.15</v>
      </c>
      <c r="F307" s="3262">
        <v>0.12</v>
      </c>
      <c r="G307" s="3263">
        <v>0.15</v>
      </c>
    </row>
    <row r="308" spans="1:7">
      <c r="A308" s="3272" t="s">
        <v>306</v>
      </c>
      <c r="B308" s="3261" t="s">
        <v>2993</v>
      </c>
      <c r="C308" s="3262">
        <v>0.15</v>
      </c>
      <c r="D308" s="3262">
        <v>0.15</v>
      </c>
      <c r="E308" s="3262">
        <v>0.15</v>
      </c>
      <c r="F308" s="3262">
        <v>0.13</v>
      </c>
      <c r="G308" s="3263">
        <v>0.15</v>
      </c>
    </row>
    <row r="309" spans="1:7">
      <c r="A309" s="3272" t="s">
        <v>306</v>
      </c>
      <c r="B309" s="3261" t="s">
        <v>2997</v>
      </c>
      <c r="C309" s="3262">
        <v>0.15</v>
      </c>
      <c r="D309" s="3262">
        <v>0.15</v>
      </c>
      <c r="E309" s="3262">
        <v>0.15</v>
      </c>
      <c r="F309" s="3262">
        <v>0.14099999999999999</v>
      </c>
      <c r="G309" s="3263">
        <v>0.15</v>
      </c>
    </row>
    <row r="310" spans="1:7">
      <c r="A310" s="3272" t="s">
        <v>306</v>
      </c>
      <c r="B310" s="3261" t="s">
        <v>3002</v>
      </c>
      <c r="C310" s="3262">
        <v>0.15</v>
      </c>
      <c r="D310" s="3262">
        <v>0.15</v>
      </c>
      <c r="E310" s="3262">
        <v>0.15</v>
      </c>
      <c r="F310" s="3262">
        <v>0.15</v>
      </c>
      <c r="G310" s="3263">
        <v>0.15</v>
      </c>
    </row>
    <row r="311" spans="1:7">
      <c r="A311" s="3272" t="s">
        <v>306</v>
      </c>
      <c r="B311" s="3261" t="s">
        <v>3007</v>
      </c>
      <c r="C311" s="3262">
        <v>0.13200000000000001</v>
      </c>
      <c r="D311" s="3262">
        <v>0.13300000000000001</v>
      </c>
      <c r="E311" s="3262">
        <v>0.14499999999999999</v>
      </c>
      <c r="F311" s="3262">
        <v>0.14199999999999999</v>
      </c>
      <c r="G311" s="3263">
        <v>0.14000000000000001</v>
      </c>
    </row>
    <row r="312" spans="1:7">
      <c r="A312" s="3272" t="s">
        <v>306</v>
      </c>
      <c r="B312" s="3261" t="s">
        <v>3012</v>
      </c>
      <c r="C312" s="3262">
        <v>0.13800000000000001</v>
      </c>
      <c r="D312" s="3262">
        <v>0.14000000000000001</v>
      </c>
      <c r="E312" s="3262">
        <v>0.14599999999999999</v>
      </c>
      <c r="F312" s="3262">
        <v>0.14899999999999999</v>
      </c>
      <c r="G312" s="3263">
        <v>0.14199999999999999</v>
      </c>
    </row>
    <row r="313" spans="1:7">
      <c r="A313" s="3272" t="s">
        <v>306</v>
      </c>
      <c r="B313" s="3261" t="s">
        <v>3017</v>
      </c>
      <c r="C313" s="3262">
        <v>0.125</v>
      </c>
      <c r="D313" s="3262">
        <v>0.127</v>
      </c>
      <c r="E313" s="3262">
        <v>0.14399999999999999</v>
      </c>
      <c r="F313" s="3262">
        <v>0.115</v>
      </c>
      <c r="G313" s="3263">
        <v>0.13600000000000001</v>
      </c>
    </row>
    <row r="314" spans="1:7">
      <c r="A314" s="3272" t="s">
        <v>306</v>
      </c>
      <c r="B314" s="3261" t="s">
        <v>3226</v>
      </c>
      <c r="C314" s="3278"/>
      <c r="D314" s="3278"/>
      <c r="E314" s="3278"/>
      <c r="F314" s="3262">
        <v>0.05</v>
      </c>
      <c r="G314" s="3279"/>
    </row>
    <row r="315" spans="1:7">
      <c r="A315" s="3272" t="s">
        <v>306</v>
      </c>
      <c r="B315" s="3261" t="s">
        <v>3227</v>
      </c>
      <c r="C315" s="3278"/>
      <c r="D315" s="3278"/>
      <c r="E315" s="3278"/>
      <c r="F315" s="3262">
        <v>0.05</v>
      </c>
      <c r="G315" s="3279"/>
    </row>
    <row r="316" spans="1:7">
      <c r="A316" s="3272" t="s">
        <v>306</v>
      </c>
      <c r="B316" s="3261" t="s">
        <v>3228</v>
      </c>
      <c r="C316" s="3273"/>
      <c r="D316" s="3273"/>
      <c r="E316" s="3273"/>
      <c r="F316" s="3262">
        <v>0.05</v>
      </c>
      <c r="G316" s="3279"/>
    </row>
    <row r="317" spans="1:7">
      <c r="A317" s="3272" t="s">
        <v>306</v>
      </c>
      <c r="B317" s="3261" t="s">
        <v>3229</v>
      </c>
      <c r="C317" s="3273"/>
      <c r="D317" s="3273"/>
      <c r="E317" s="3273"/>
      <c r="F317" s="3262">
        <v>0.05</v>
      </c>
      <c r="G317" s="3279"/>
    </row>
    <row r="318" spans="1:7">
      <c r="A318" s="3272" t="s">
        <v>306</v>
      </c>
      <c r="B318" s="3261" t="s">
        <v>3230</v>
      </c>
      <c r="C318" s="3273"/>
      <c r="D318" s="3273"/>
      <c r="E318" s="3273"/>
      <c r="F318" s="3262">
        <v>0.05</v>
      </c>
      <c r="G318" s="3279"/>
    </row>
    <row r="319" spans="1:7">
      <c r="A319" s="3272" t="s">
        <v>306</v>
      </c>
      <c r="B319" s="3261" t="s">
        <v>3231</v>
      </c>
      <c r="C319" s="3273"/>
      <c r="D319" s="3273"/>
      <c r="E319" s="3273"/>
      <c r="F319" s="3262">
        <v>0.05</v>
      </c>
      <c r="G319" s="3279"/>
    </row>
    <row r="320" spans="1:7">
      <c r="A320" s="3272" t="s">
        <v>306</v>
      </c>
      <c r="B320" s="3261" t="s">
        <v>3232</v>
      </c>
      <c r="C320" s="3273"/>
      <c r="D320" s="3273"/>
      <c r="E320" s="3273"/>
      <c r="F320" s="3262">
        <v>0.05</v>
      </c>
      <c r="G320" s="3279"/>
    </row>
    <row r="321" spans="1:7">
      <c r="A321" s="3272" t="s">
        <v>306</v>
      </c>
      <c r="B321" s="3261" t="s">
        <v>3233</v>
      </c>
      <c r="C321" s="3273"/>
      <c r="D321" s="3273"/>
      <c r="E321" s="3273"/>
      <c r="F321" s="3262">
        <v>0.05</v>
      </c>
      <c r="G321" s="3279"/>
    </row>
    <row r="322" spans="1:7">
      <c r="A322" s="3272" t="s">
        <v>306</v>
      </c>
      <c r="B322" s="3261" t="s">
        <v>3234</v>
      </c>
      <c r="C322" s="3273"/>
      <c r="D322" s="3273"/>
      <c r="E322" s="3273"/>
      <c r="F322" s="3262">
        <v>0.05</v>
      </c>
      <c r="G322" s="3279"/>
    </row>
    <row r="323" spans="1:7">
      <c r="A323" s="3272" t="s">
        <v>306</v>
      </c>
      <c r="B323" s="3261" t="s">
        <v>3235</v>
      </c>
      <c r="C323" s="3273"/>
      <c r="D323" s="3273"/>
      <c r="E323" s="3273"/>
      <c r="F323" s="3262">
        <v>0.05</v>
      </c>
      <c r="G323" s="3279"/>
    </row>
    <row r="324" spans="1:7">
      <c r="A324" s="3272" t="s">
        <v>306</v>
      </c>
      <c r="B324" s="3261" t="s">
        <v>3236</v>
      </c>
      <c r="C324" s="3273"/>
      <c r="D324" s="3273"/>
      <c r="E324" s="3273"/>
      <c r="F324" s="3262">
        <v>0.05</v>
      </c>
      <c r="G324" s="3279"/>
    </row>
    <row r="325" spans="1:7">
      <c r="A325" s="3272" t="s">
        <v>306</v>
      </c>
      <c r="B325" s="3261" t="s">
        <v>3237</v>
      </c>
      <c r="C325" s="3273"/>
      <c r="D325" s="3273"/>
      <c r="E325" s="3273"/>
      <c r="F325" s="3262">
        <v>0.05</v>
      </c>
      <c r="G325" s="3279"/>
    </row>
    <row r="326" spans="1:7" ht="15" thickBot="1">
      <c r="A326" s="3275" t="s">
        <v>306</v>
      </c>
      <c r="B326" s="3265" t="s">
        <v>3238</v>
      </c>
      <c r="C326" s="3267"/>
      <c r="D326" s="3267"/>
      <c r="E326" s="3267"/>
      <c r="F326" s="3266">
        <v>0.05</v>
      </c>
      <c r="G326" s="3280"/>
    </row>
    <row r="327" spans="1:7">
      <c r="A327" s="3271" t="s">
        <v>307</v>
      </c>
      <c r="B327" s="3257" t="s">
        <v>2870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2882</v>
      </c>
      <c r="C329" s="3262">
        <v>0.15</v>
      </c>
      <c r="D329" s="3262">
        <v>0.15</v>
      </c>
      <c r="E329" s="3262">
        <v>0.15</v>
      </c>
      <c r="F329" s="3262">
        <v>0.15</v>
      </c>
      <c r="G329" s="3263">
        <v>0.15</v>
      </c>
    </row>
    <row r="330" spans="1:7">
      <c r="A330" s="3272" t="s">
        <v>307</v>
      </c>
      <c r="B330" s="3261" t="s">
        <v>2886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2894</v>
      </c>
      <c r="C332" s="3262">
        <v>0.15</v>
      </c>
      <c r="D332" s="3262">
        <v>0.15</v>
      </c>
      <c r="E332" s="3262">
        <v>0.15</v>
      </c>
      <c r="F332" s="3262">
        <v>0.15</v>
      </c>
      <c r="G332" s="3263">
        <v>0.15</v>
      </c>
    </row>
    <row r="333" spans="1:7">
      <c r="A333" s="3272" t="s">
        <v>307</v>
      </c>
      <c r="B333" s="3261" t="s">
        <v>2898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2904</v>
      </c>
      <c r="C336" s="3262">
        <v>0.15</v>
      </c>
      <c r="D336" s="3262">
        <v>0.15</v>
      </c>
      <c r="E336" s="3262">
        <v>0.15</v>
      </c>
      <c r="F336" s="3262">
        <v>0.14199999999999999</v>
      </c>
      <c r="G336" s="3263">
        <v>0.15</v>
      </c>
    </row>
    <row r="337" spans="1:7">
      <c r="A337" s="3272" t="s">
        <v>307</v>
      </c>
      <c r="B337" s="3261" t="s">
        <v>2909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2929</v>
      </c>
      <c r="C345" s="3262">
        <v>0.15</v>
      </c>
      <c r="D345" s="3262">
        <v>0.15</v>
      </c>
      <c r="E345" s="3262">
        <v>0.15</v>
      </c>
      <c r="F345" s="3262">
        <v>0.13800000000000001</v>
      </c>
      <c r="G345" s="3263">
        <v>0.15</v>
      </c>
    </row>
    <row r="346" spans="1:7">
      <c r="A346" s="3272" t="s">
        <v>307</v>
      </c>
      <c r="B346" s="3261" t="s">
        <v>2931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2938</v>
      </c>
      <c r="C348" s="3262">
        <v>0.15</v>
      </c>
      <c r="D348" s="3262">
        <v>0.15</v>
      </c>
      <c r="E348" s="3262">
        <v>0.15</v>
      </c>
      <c r="F348" s="3262">
        <v>0.14399999999999999</v>
      </c>
      <c r="G348" s="3263">
        <v>0.15</v>
      </c>
    </row>
    <row r="349" spans="1:7">
      <c r="A349" s="3272" t="s">
        <v>307</v>
      </c>
      <c r="B349" s="3261" t="s">
        <v>2943</v>
      </c>
      <c r="C349" s="3262">
        <v>0.15</v>
      </c>
      <c r="D349" s="3262">
        <v>0.15</v>
      </c>
      <c r="E349" s="3262">
        <v>0.15</v>
      </c>
      <c r="F349" s="3262">
        <v>0.15</v>
      </c>
      <c r="G349" s="3263">
        <v>0.15</v>
      </c>
    </row>
    <row r="350" spans="1:7">
      <c r="A350" s="3272" t="s">
        <v>307</v>
      </c>
      <c r="B350" s="3261" t="s">
        <v>2946</v>
      </c>
      <c r="C350" s="3262">
        <v>0.15</v>
      </c>
      <c r="D350" s="3262">
        <v>0.15</v>
      </c>
      <c r="E350" s="3262">
        <v>0.15</v>
      </c>
      <c r="F350" s="3262">
        <v>0.14699999999999999</v>
      </c>
      <c r="G350" s="3263">
        <v>0.15</v>
      </c>
    </row>
    <row r="351" spans="1:7">
      <c r="A351" s="3272" t="s">
        <v>307</v>
      </c>
      <c r="B351" s="3261" t="s">
        <v>2951</v>
      </c>
      <c r="C351" s="3262">
        <v>0.15</v>
      </c>
      <c r="D351" s="3262">
        <v>0.15</v>
      </c>
      <c r="E351" s="3262">
        <v>0.15</v>
      </c>
      <c r="F351" s="3262">
        <v>0.13</v>
      </c>
      <c r="G351" s="3263">
        <v>0.15</v>
      </c>
    </row>
    <row r="352" spans="1:7">
      <c r="A352" s="3272" t="s">
        <v>307</v>
      </c>
      <c r="B352" s="3261" t="s">
        <v>2956</v>
      </c>
      <c r="C352" s="3262">
        <v>0.15</v>
      </c>
      <c r="D352" s="3262">
        <v>0.15</v>
      </c>
      <c r="E352" s="3262">
        <v>0.15</v>
      </c>
      <c r="F352" s="3262">
        <v>0.14599999999999999</v>
      </c>
      <c r="G352" s="3263">
        <v>0.15</v>
      </c>
    </row>
    <row r="353" spans="1:7">
      <c r="A353" s="3272" t="s">
        <v>307</v>
      </c>
      <c r="B353" s="3261" t="s">
        <v>2963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2976</v>
      </c>
      <c r="C355" s="3262">
        <v>0.15</v>
      </c>
      <c r="D355" s="3262">
        <v>0.15</v>
      </c>
      <c r="E355" s="3262">
        <v>0.15</v>
      </c>
      <c r="F355" s="3262">
        <v>0.15</v>
      </c>
      <c r="G355" s="3263">
        <v>0.15</v>
      </c>
    </row>
    <row r="356" spans="1:7">
      <c r="A356" s="3272" t="s">
        <v>307</v>
      </c>
      <c r="B356" s="3261" t="s">
        <v>2983</v>
      </c>
      <c r="C356" s="3262">
        <v>0.15</v>
      </c>
      <c r="D356" s="3262">
        <v>0.15</v>
      </c>
      <c r="E356" s="3262">
        <v>0.15</v>
      </c>
      <c r="F356" s="3262">
        <v>0.15</v>
      </c>
      <c r="G356" s="3263">
        <v>0.15</v>
      </c>
    </row>
    <row r="357" spans="1:7" ht="15" thickBot="1">
      <c r="A357" s="3275" t="s">
        <v>307</v>
      </c>
      <c r="B357" s="3265" t="s">
        <v>2988</v>
      </c>
      <c r="C357" s="3266">
        <v>0.126</v>
      </c>
      <c r="D357" s="3266">
        <v>0.127</v>
      </c>
      <c r="E357" s="3266">
        <v>0.14299999999999999</v>
      </c>
      <c r="F357" s="3266">
        <v>0.125</v>
      </c>
      <c r="G357" s="3268">
        <v>0.129</v>
      </c>
    </row>
    <row r="358" spans="1:7">
      <c r="A358" s="3271" t="s">
        <v>2857</v>
      </c>
      <c r="B358" s="3257" t="s">
        <v>2871</v>
      </c>
      <c r="C358" s="3258">
        <v>0.15</v>
      </c>
      <c r="D358" s="3258">
        <v>0.15</v>
      </c>
      <c r="E358" s="3258">
        <v>0.15</v>
      </c>
      <c r="F358" s="3258">
        <v>0.15</v>
      </c>
      <c r="G358" s="3259">
        <v>0.15</v>
      </c>
    </row>
    <row r="359" spans="1:7">
      <c r="A359" s="3272" t="s">
        <v>2857</v>
      </c>
      <c r="B359" s="3261" t="s">
        <v>2877</v>
      </c>
      <c r="C359" s="3262">
        <v>0.1</v>
      </c>
      <c r="D359" s="3262">
        <v>0.1</v>
      </c>
      <c r="E359" s="3262">
        <v>0.1</v>
      </c>
      <c r="F359" s="3262">
        <v>0.1</v>
      </c>
      <c r="G359" s="3263">
        <v>0.1</v>
      </c>
    </row>
    <row r="360" spans="1:7">
      <c r="A360" s="3272" t="s">
        <v>2857</v>
      </c>
      <c r="B360" s="3261" t="s">
        <v>2883</v>
      </c>
      <c r="C360" s="3262">
        <v>0.15</v>
      </c>
      <c r="D360" s="3262">
        <v>0.15</v>
      </c>
      <c r="E360" s="3262">
        <v>0.15</v>
      </c>
      <c r="F360" s="3262">
        <v>0.14899999999999999</v>
      </c>
      <c r="G360" s="3263">
        <v>0.15</v>
      </c>
    </row>
    <row r="361" spans="1:7">
      <c r="A361" s="3272" t="s">
        <v>2857</v>
      </c>
      <c r="B361" s="3261" t="s">
        <v>153</v>
      </c>
      <c r="C361" s="3262">
        <v>0.15</v>
      </c>
      <c r="D361" s="3262">
        <v>0.15</v>
      </c>
      <c r="E361" s="3262">
        <v>0.15</v>
      </c>
      <c r="F361" s="3262">
        <v>0.115</v>
      </c>
      <c r="G361" s="3263">
        <v>0.15</v>
      </c>
    </row>
    <row r="362" spans="1:7">
      <c r="A362" s="3272" t="s">
        <v>2857</v>
      </c>
      <c r="B362" s="3261" t="s">
        <v>2890</v>
      </c>
      <c r="C362" s="3262">
        <v>0.15</v>
      </c>
      <c r="D362" s="3262">
        <v>0.15</v>
      </c>
      <c r="E362" s="3262">
        <v>0.15</v>
      </c>
      <c r="F362" s="3262">
        <v>0.106</v>
      </c>
      <c r="G362" s="3263">
        <v>0.15</v>
      </c>
    </row>
    <row r="363" spans="1:7">
      <c r="A363" s="3272" t="s">
        <v>2857</v>
      </c>
      <c r="B363" s="3261" t="s">
        <v>2895</v>
      </c>
      <c r="C363" s="3262">
        <v>0.15</v>
      </c>
      <c r="D363" s="3262">
        <v>0.15</v>
      </c>
      <c r="E363" s="3262">
        <v>0.15</v>
      </c>
      <c r="F363" s="3262">
        <v>0.14699999999999999</v>
      </c>
      <c r="G363" s="3263">
        <v>0.15</v>
      </c>
    </row>
    <row r="364" spans="1:7">
      <c r="A364" s="3272" t="s">
        <v>2857</v>
      </c>
      <c r="B364" s="3261" t="s">
        <v>2899</v>
      </c>
      <c r="C364" s="3262">
        <v>0.15</v>
      </c>
      <c r="D364" s="3262">
        <v>0.15</v>
      </c>
      <c r="E364" s="3262">
        <v>0.15</v>
      </c>
      <c r="F364" s="3262">
        <v>0.14799999999999999</v>
      </c>
      <c r="G364" s="3263">
        <v>0.15</v>
      </c>
    </row>
    <row r="365" spans="1:7">
      <c r="A365" s="3272" t="s">
        <v>2857</v>
      </c>
      <c r="B365" s="3261" t="s">
        <v>200</v>
      </c>
      <c r="C365" s="3262">
        <v>0.15</v>
      </c>
      <c r="D365" s="3262">
        <v>0.15</v>
      </c>
      <c r="E365" s="3262">
        <v>0.15</v>
      </c>
      <c r="F365" s="3262">
        <v>0.15</v>
      </c>
      <c r="G365" s="3263">
        <v>0.15</v>
      </c>
    </row>
    <row r="366" spans="1:7">
      <c r="A366" s="3272" t="s">
        <v>2857</v>
      </c>
      <c r="B366" s="3261" t="s">
        <v>2902</v>
      </c>
      <c r="C366" s="3262">
        <v>0.15</v>
      </c>
      <c r="D366" s="3262">
        <v>0.15</v>
      </c>
      <c r="E366" s="3262">
        <v>0.15</v>
      </c>
      <c r="F366" s="3262">
        <v>0.15</v>
      </c>
      <c r="G366" s="3263">
        <v>0.15</v>
      </c>
    </row>
    <row r="367" spans="1:7">
      <c r="A367" s="3272" t="s">
        <v>2857</v>
      </c>
      <c r="B367" s="3261" t="s">
        <v>2905</v>
      </c>
      <c r="C367" s="3262">
        <v>0.15</v>
      </c>
      <c r="D367" s="3262">
        <v>0.15</v>
      </c>
      <c r="E367" s="3262">
        <v>0.15</v>
      </c>
      <c r="F367" s="3262">
        <v>0.14699999999999999</v>
      </c>
      <c r="G367" s="3263">
        <v>0.15</v>
      </c>
    </row>
    <row r="368" spans="1:7">
      <c r="A368" s="3272" t="s">
        <v>2857</v>
      </c>
      <c r="B368" s="3261" t="s">
        <v>2910</v>
      </c>
      <c r="C368" s="3262">
        <v>0.15</v>
      </c>
      <c r="D368" s="3262">
        <v>0.15</v>
      </c>
      <c r="E368" s="3262">
        <v>0.15</v>
      </c>
      <c r="F368" s="3262">
        <v>0.13600000000000001</v>
      </c>
      <c r="G368" s="3263">
        <v>0.15</v>
      </c>
    </row>
    <row r="369" spans="1:7">
      <c r="A369" s="3272" t="s">
        <v>2857</v>
      </c>
      <c r="B369" s="3261" t="s">
        <v>214</v>
      </c>
      <c r="C369" s="3262">
        <v>0.15</v>
      </c>
      <c r="D369" s="3262">
        <v>0.15</v>
      </c>
      <c r="E369" s="3262">
        <v>0.15</v>
      </c>
      <c r="F369" s="3262">
        <v>0.14399999999999999</v>
      </c>
      <c r="G369" s="3263">
        <v>0.15</v>
      </c>
    </row>
    <row r="370" spans="1:7">
      <c r="A370" s="3272" t="s">
        <v>2857</v>
      </c>
      <c r="B370" s="3261" t="s">
        <v>221</v>
      </c>
      <c r="C370" s="3262">
        <v>0.15</v>
      </c>
      <c r="D370" s="3262">
        <v>0.15</v>
      </c>
      <c r="E370" s="3262">
        <v>0.15</v>
      </c>
      <c r="F370" s="3262">
        <v>0.14599999999999999</v>
      </c>
      <c r="G370" s="3263">
        <v>0.15</v>
      </c>
    </row>
    <row r="371" spans="1:7">
      <c r="A371" s="3272" t="s">
        <v>2857</v>
      </c>
      <c r="B371" s="3261" t="s">
        <v>229</v>
      </c>
      <c r="C371" s="3262">
        <v>0.15</v>
      </c>
      <c r="D371" s="3262">
        <v>0.15</v>
      </c>
      <c r="E371" s="3262">
        <v>0.15</v>
      </c>
      <c r="F371" s="3262">
        <v>0.12</v>
      </c>
      <c r="G371" s="3263">
        <v>0.15</v>
      </c>
    </row>
    <row r="372" spans="1:7">
      <c r="A372" s="3272" t="s">
        <v>2857</v>
      </c>
      <c r="B372" s="3261" t="s">
        <v>2918</v>
      </c>
      <c r="C372" s="3262">
        <v>0.15</v>
      </c>
      <c r="D372" s="3262">
        <v>0.15</v>
      </c>
      <c r="E372" s="3262">
        <v>0.15</v>
      </c>
      <c r="F372" s="3262">
        <v>0.14299999999999999</v>
      </c>
      <c r="G372" s="3263">
        <v>0.15</v>
      </c>
    </row>
    <row r="373" spans="1:7">
      <c r="A373" s="3272" t="s">
        <v>2857</v>
      </c>
      <c r="B373" s="3261" t="s">
        <v>258</v>
      </c>
      <c r="C373" s="3262">
        <v>0.15</v>
      </c>
      <c r="D373" s="3262">
        <v>0.15</v>
      </c>
      <c r="E373" s="3262">
        <v>0.15</v>
      </c>
      <c r="F373" s="3262">
        <v>0.14599999999999999</v>
      </c>
      <c r="G373" s="3263">
        <v>0.15</v>
      </c>
    </row>
    <row r="374" spans="1:7">
      <c r="A374" s="3272" t="s">
        <v>2857</v>
      </c>
      <c r="B374" s="3261" t="s">
        <v>266</v>
      </c>
      <c r="C374" s="3262">
        <v>0.15</v>
      </c>
      <c r="D374" s="3262">
        <v>0.15</v>
      </c>
      <c r="E374" s="3262">
        <v>0.15</v>
      </c>
      <c r="F374" s="3262">
        <v>0.14399999999999999</v>
      </c>
      <c r="G374" s="3263">
        <v>0.15</v>
      </c>
    </row>
    <row r="375" spans="1:7">
      <c r="A375" s="3272" t="s">
        <v>2857</v>
      </c>
      <c r="B375" s="3261" t="s">
        <v>2926</v>
      </c>
      <c r="C375" s="3262">
        <v>0.15</v>
      </c>
      <c r="D375" s="3262">
        <v>0.15</v>
      </c>
      <c r="E375" s="3262">
        <v>0.15</v>
      </c>
      <c r="F375" s="3262">
        <v>0.13</v>
      </c>
      <c r="G375" s="3263">
        <v>0.15</v>
      </c>
    </row>
    <row r="376" spans="1:7">
      <c r="A376" s="3272" t="s">
        <v>2857</v>
      </c>
      <c r="B376" s="3261" t="s">
        <v>277</v>
      </c>
      <c r="C376" s="3262">
        <v>0.15</v>
      </c>
      <c r="D376" s="3262">
        <v>0.15</v>
      </c>
      <c r="E376" s="3262">
        <v>0.15</v>
      </c>
      <c r="F376" s="3262">
        <v>0.14199999999999999</v>
      </c>
      <c r="G376" s="3263">
        <v>0.15</v>
      </c>
    </row>
    <row r="377" spans="1:7" ht="15" thickBot="1">
      <c r="A377" s="3275" t="s">
        <v>2857</v>
      </c>
      <c r="B377" s="3265" t="s">
        <v>2932</v>
      </c>
      <c r="C377" s="3266">
        <v>0.15</v>
      </c>
      <c r="D377" s="3266">
        <v>0.15</v>
      </c>
      <c r="E377" s="3266">
        <v>0.15</v>
      </c>
      <c r="F377" s="3266">
        <v>0.14000000000000001</v>
      </c>
      <c r="G377" s="3268">
        <v>0.15</v>
      </c>
    </row>
    <row r="378" spans="1:7">
      <c r="A378" s="3271" t="s">
        <v>2858</v>
      </c>
      <c r="B378" s="3257" t="s">
        <v>2872</v>
      </c>
      <c r="C378" s="3258">
        <v>0.15</v>
      </c>
      <c r="D378" s="3258">
        <v>0.15</v>
      </c>
      <c r="E378" s="3258">
        <v>0.15</v>
      </c>
      <c r="F378" s="3258">
        <v>0.107</v>
      </c>
      <c r="G378" s="3259">
        <v>0.15</v>
      </c>
    </row>
    <row r="379" spans="1:7">
      <c r="A379" s="3272" t="s">
        <v>2858</v>
      </c>
      <c r="B379" s="3261" t="s">
        <v>2878</v>
      </c>
      <c r="C379" s="3262">
        <v>0.15</v>
      </c>
      <c r="D379" s="3262">
        <v>0.15</v>
      </c>
      <c r="E379" s="3262">
        <v>0.15</v>
      </c>
      <c r="F379" s="3262">
        <v>0.115</v>
      </c>
      <c r="G379" s="3263">
        <v>0.14899999999999999</v>
      </c>
    </row>
    <row r="380" spans="1:7">
      <c r="A380" s="3272" t="s">
        <v>2858</v>
      </c>
      <c r="B380" s="3261" t="s">
        <v>2884</v>
      </c>
      <c r="C380" s="3262">
        <v>0.15</v>
      </c>
      <c r="D380" s="3262">
        <v>0.15</v>
      </c>
      <c r="E380" s="3262">
        <v>0.15</v>
      </c>
      <c r="F380" s="3262">
        <v>0.1</v>
      </c>
      <c r="G380" s="3263">
        <v>0.14799999999999999</v>
      </c>
    </row>
    <row r="381" spans="1:7">
      <c r="A381" s="3272" t="s">
        <v>2858</v>
      </c>
      <c r="B381" s="3261" t="s">
        <v>2887</v>
      </c>
      <c r="C381" s="3262">
        <v>0.15</v>
      </c>
      <c r="D381" s="3262">
        <v>0.15</v>
      </c>
      <c r="E381" s="3262">
        <v>0.15</v>
      </c>
      <c r="F381" s="3262">
        <v>0.126</v>
      </c>
      <c r="G381" s="3263">
        <v>0.15</v>
      </c>
    </row>
    <row r="382" spans="1:7">
      <c r="A382" s="3272" t="s">
        <v>2858</v>
      </c>
      <c r="B382" s="3261" t="s">
        <v>2891</v>
      </c>
      <c r="C382" s="3262">
        <v>0.15</v>
      </c>
      <c r="D382" s="3262">
        <v>0.15</v>
      </c>
      <c r="E382" s="3262">
        <v>0.15</v>
      </c>
      <c r="F382" s="3262">
        <v>0.15</v>
      </c>
      <c r="G382" s="3263">
        <v>0.15</v>
      </c>
    </row>
    <row r="383" spans="1:7">
      <c r="A383" s="3272" t="s">
        <v>2858</v>
      </c>
      <c r="B383" s="3261" t="s">
        <v>2896</v>
      </c>
      <c r="C383" s="3262">
        <v>0.15</v>
      </c>
      <c r="D383" s="3262">
        <v>0.15</v>
      </c>
      <c r="E383" s="3262">
        <v>0.15</v>
      </c>
      <c r="F383" s="3262">
        <v>0.14699999999999999</v>
      </c>
      <c r="G383" s="3263">
        <v>0.15</v>
      </c>
    </row>
    <row r="384" spans="1:7" ht="15" thickBot="1">
      <c r="A384" s="3282" t="s">
        <v>2858</v>
      </c>
      <c r="B384" s="3283" t="s">
        <v>2900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125" defaultRowHeight="14.25"/>
  <cols>
    <col min="1" max="16384" width="13.125" style="3287"/>
  </cols>
  <sheetData>
    <row r="1" spans="1:6">
      <c r="A1" s="3811" t="s">
        <v>3239</v>
      </c>
      <c r="B1" s="3811"/>
      <c r="C1" s="3811"/>
      <c r="D1" s="3811"/>
      <c r="E1" s="3811"/>
      <c r="F1" s="3812"/>
    </row>
    <row r="2" spans="1:6">
      <c r="A2" s="3288" t="s">
        <v>3240</v>
      </c>
      <c r="B2" s="3289"/>
      <c r="C2" s="3289"/>
      <c r="D2" s="3289"/>
      <c r="E2" s="3289"/>
      <c r="F2" s="3289"/>
    </row>
    <row r="3" spans="1:6">
      <c r="A3" s="3288" t="s">
        <v>3241</v>
      </c>
      <c r="B3" s="3289"/>
      <c r="C3" s="3289"/>
      <c r="D3" s="3289"/>
      <c r="E3" s="3289"/>
      <c r="F3" s="3290" t="s">
        <v>3242</v>
      </c>
    </row>
    <row r="4" spans="1:6">
      <c r="A4" s="3291" t="s">
        <v>672</v>
      </c>
      <c r="B4" s="3291" t="s">
        <v>673</v>
      </c>
      <c r="C4" s="3291" t="s">
        <v>21</v>
      </c>
      <c r="D4" s="3291" t="s">
        <v>674</v>
      </c>
      <c r="E4" s="3291" t="s">
        <v>3</v>
      </c>
      <c r="F4" s="3291" t="s">
        <v>3243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zoomScale="80" zoomScaleNormal="80" workbookViewId="0">
      <selection activeCell="A38" sqref="A38"/>
    </sheetView>
  </sheetViews>
  <sheetFormatPr defaultColWidth="8.875" defaultRowHeight="14.25"/>
  <cols>
    <col min="1" max="1" width="13.875" customWidth="1"/>
    <col min="11" max="17" width="0" hidden="1" customWidth="1"/>
    <col min="25" max="30" width="0" hidden="1" customWidth="1"/>
  </cols>
  <sheetData>
    <row r="1" spans="1:30">
      <c r="A1" s="3218">
        <f>基准地价修正!G23</f>
        <v>45131</v>
      </c>
      <c r="B1" s="3207" t="s">
        <v>2845</v>
      </c>
      <c r="C1" s="3208"/>
      <c r="D1" s="3208"/>
      <c r="E1" s="3208"/>
      <c r="F1" s="3208"/>
      <c r="G1" s="3208"/>
      <c r="H1" s="3208"/>
      <c r="I1" s="3208"/>
      <c r="J1" s="3162"/>
      <c r="K1" s="3208" t="s">
        <v>454</v>
      </c>
      <c r="L1" s="3208"/>
      <c r="M1" s="3208"/>
      <c r="N1" s="3208"/>
      <c r="O1" s="3208"/>
      <c r="P1" s="3208"/>
      <c r="Q1" s="3162"/>
      <c r="R1" s="3813" t="s">
        <v>456</v>
      </c>
      <c r="S1" s="3814"/>
      <c r="T1" s="3814"/>
      <c r="U1" s="3814"/>
      <c r="V1" s="3814"/>
      <c r="W1" s="3814"/>
      <c r="X1" s="3162"/>
      <c r="Y1" s="3813" t="s">
        <v>457</v>
      </c>
      <c r="Z1" s="3814"/>
      <c r="AA1" s="3814"/>
      <c r="AB1" s="3814"/>
      <c r="AC1" s="3814"/>
      <c r="AD1" s="3814"/>
    </row>
    <row r="2" spans="1:30" s="3140" customFormat="1"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2823</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2824</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3371</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3362</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2825</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2826</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2827</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2828</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ht="13.5" thickBot="1">
      <c r="A16" s="3194" t="s">
        <v>2829</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5" thickTop="1"/>
    <row r="18" spans="1:30" s="3006" customFormat="1">
      <c r="A18" s="3445" t="s">
        <v>3374</v>
      </c>
    </row>
    <row r="19" spans="1:30" s="3006" customFormat="1">
      <c r="I19" s="3205" t="s">
        <v>2830</v>
      </c>
    </row>
    <row r="20" spans="1:30" s="3006" customFormat="1"/>
    <row r="21" spans="1:30" s="3206" customFormat="1" ht="12.75">
      <c r="B21" s="3207" t="s">
        <v>2831</v>
      </c>
      <c r="C21" s="3208"/>
      <c r="D21" s="3208"/>
      <c r="E21" s="3208"/>
      <c r="F21" s="3208"/>
      <c r="G21" s="3208"/>
      <c r="H21" s="3208"/>
      <c r="I21" s="3208"/>
      <c r="J21" s="3162"/>
      <c r="K21" s="3208" t="s">
        <v>2832</v>
      </c>
      <c r="L21" s="3208"/>
      <c r="M21" s="3208"/>
      <c r="N21" s="3208"/>
      <c r="O21" s="3208"/>
      <c r="P21" s="3208"/>
      <c r="Q21" s="3162"/>
      <c r="R21" s="3813" t="s">
        <v>2833</v>
      </c>
      <c r="S21" s="3814"/>
      <c r="T21" s="3814"/>
      <c r="U21" s="3814"/>
      <c r="V21" s="3814"/>
      <c r="W21" s="3814"/>
      <c r="X21" s="3162"/>
      <c r="Y21" s="3813" t="s">
        <v>2834</v>
      </c>
      <c r="Z21" s="3814"/>
      <c r="AA21" s="3814"/>
      <c r="AB21" s="3814"/>
      <c r="AC21" s="3814"/>
      <c r="AD21" s="3814"/>
    </row>
    <row r="22" spans="1:30" s="3140" customFormat="1" thickBot="1">
      <c r="B22" s="3141"/>
      <c r="C22" s="3142"/>
      <c r="D22" s="3143" t="s">
        <v>2835</v>
      </c>
      <c r="E22" s="3144" t="s">
        <v>2836</v>
      </c>
      <c r="F22" s="3144" t="s">
        <v>2837</v>
      </c>
      <c r="G22" s="3144" t="s">
        <v>2838</v>
      </c>
      <c r="H22" s="3144"/>
      <c r="I22" s="3144" t="s">
        <v>2839</v>
      </c>
      <c r="J22" s="3145"/>
      <c r="K22" s="3143" t="s">
        <v>2835</v>
      </c>
      <c r="L22" s="3144" t="s">
        <v>2836</v>
      </c>
      <c r="M22" s="3144" t="s">
        <v>2837</v>
      </c>
      <c r="N22" s="3144" t="s">
        <v>2838</v>
      </c>
      <c r="O22" s="3144"/>
      <c r="P22" s="3144" t="s">
        <v>2839</v>
      </c>
      <c r="Q22" s="3145"/>
      <c r="R22" s="3143" t="s">
        <v>2835</v>
      </c>
      <c r="S22" s="3144" t="s">
        <v>2836</v>
      </c>
      <c r="T22" s="3144" t="s">
        <v>2837</v>
      </c>
      <c r="U22" s="3144" t="s">
        <v>2838</v>
      </c>
      <c r="V22" s="3144"/>
      <c r="W22" s="3144" t="s">
        <v>2839</v>
      </c>
      <c r="X22" s="3145"/>
      <c r="Y22" s="3143" t="s">
        <v>2835</v>
      </c>
      <c r="Z22" s="3144" t="s">
        <v>2836</v>
      </c>
      <c r="AA22" s="3144" t="s">
        <v>2837</v>
      </c>
      <c r="AB22" s="3144" t="s">
        <v>2838</v>
      </c>
      <c r="AC22" s="3144"/>
      <c r="AD22" s="3144" t="s">
        <v>2839</v>
      </c>
    </row>
    <row r="23" spans="1:30" s="3158" customFormat="1" ht="12.75">
      <c r="A23" s="3146" t="s">
        <v>2840</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2823</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3372</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3362</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2841</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2842</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2843</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2844</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ht="13.5" thickBot="1">
      <c r="A36" s="3194" t="s">
        <v>2829</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5" thickTop="1"/>
    <row r="38" spans="1:30">
      <c r="A38" s="3445"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1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1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20" t="s">
        <v>452</v>
      </c>
      <c r="C1" s="3820"/>
      <c r="D1" s="3820"/>
      <c r="E1" s="3820"/>
      <c r="F1" s="3820"/>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3370</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3367</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3368</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3369</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2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2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2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2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1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1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2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2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2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2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1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1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1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1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1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1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1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1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1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15">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6">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6">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7">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15">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6">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6">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2"/>
  <sheetViews>
    <sheetView workbookViewId="0">
      <selection activeCell="I22" sqref="I22"/>
    </sheetView>
  </sheetViews>
  <sheetFormatPr defaultColWidth="8.875" defaultRowHeight="14.25"/>
  <cols>
    <col min="1" max="1" width="4.875" style="1241" customWidth="1"/>
    <col min="2" max="2" width="13.125" style="1247" customWidth="1"/>
    <col min="3" max="3" width="15.625" style="1247" customWidth="1"/>
    <col min="4" max="4" width="9.375" style="1247" bestFit="1" customWidth="1"/>
    <col min="5" max="5" width="13.5" style="1247" customWidth="1"/>
    <col min="6" max="6" width="8.875" style="1247"/>
    <col min="7" max="7" width="9.375" style="1247" bestFit="1" customWidth="1"/>
    <col min="8" max="8" width="12.125" style="1247" customWidth="1"/>
    <col min="9" max="9" width="8.875" style="1247"/>
    <col min="10" max="10" width="9.375" style="1247" bestFit="1" customWidth="1"/>
    <col min="11" max="11" width="4" style="1241" customWidth="1"/>
    <col min="12" max="12" width="5.125" style="1247" customWidth="1"/>
    <col min="13" max="13" width="13.625" style="1247" customWidth="1"/>
    <col min="14" max="256" width="8.875" style="1247"/>
    <col min="257" max="257" width="4.875" style="1238" customWidth="1"/>
    <col min="258" max="258" width="13.125" style="1238" customWidth="1"/>
    <col min="259" max="259" width="15.625" style="1238" customWidth="1"/>
    <col min="260" max="260" width="9.375" style="1238" bestFit="1" customWidth="1"/>
    <col min="261" max="261" width="13.5" style="1238" customWidth="1"/>
    <col min="262" max="262" width="8.875" style="1238"/>
    <col min="263" max="263" width="9.375" style="1238" bestFit="1" customWidth="1"/>
    <col min="264" max="265" width="8.875" style="1238"/>
    <col min="266" max="266" width="9.375" style="1238" bestFit="1" customWidth="1"/>
    <col min="267" max="267" width="4" style="1238" customWidth="1"/>
    <col min="268" max="268" width="5.125" style="1238" customWidth="1"/>
    <col min="269" max="269" width="13.625" style="1238" customWidth="1"/>
    <col min="270" max="512" width="8.875" style="1238"/>
    <col min="513" max="513" width="4.875" style="1238" customWidth="1"/>
    <col min="514" max="514" width="13.125" style="1238" customWidth="1"/>
    <col min="515" max="515" width="15.625" style="1238" customWidth="1"/>
    <col min="516" max="516" width="9.375" style="1238" bestFit="1" customWidth="1"/>
    <col min="517" max="517" width="13.5" style="1238" customWidth="1"/>
    <col min="518" max="518" width="8.875" style="1238"/>
    <col min="519" max="519" width="9.375" style="1238" bestFit="1" customWidth="1"/>
    <col min="520" max="521" width="8.875" style="1238"/>
    <col min="522" max="522" width="9.375" style="1238" bestFit="1" customWidth="1"/>
    <col min="523" max="523" width="4" style="1238" customWidth="1"/>
    <col min="524" max="524" width="5.125" style="1238" customWidth="1"/>
    <col min="525" max="525" width="13.625" style="1238" customWidth="1"/>
    <col min="526" max="768" width="8.875" style="1238"/>
    <col min="769" max="769" width="4.875" style="1238" customWidth="1"/>
    <col min="770" max="770" width="13.125" style="1238" customWidth="1"/>
    <col min="771" max="771" width="15.625" style="1238" customWidth="1"/>
    <col min="772" max="772" width="9.375" style="1238" bestFit="1" customWidth="1"/>
    <col min="773" max="773" width="13.5" style="1238" customWidth="1"/>
    <col min="774" max="774" width="8.875" style="1238"/>
    <col min="775" max="775" width="9.375" style="1238" bestFit="1" customWidth="1"/>
    <col min="776" max="777" width="8.875" style="1238"/>
    <col min="778" max="778" width="9.375" style="1238" bestFit="1" customWidth="1"/>
    <col min="779" max="779" width="4" style="1238" customWidth="1"/>
    <col min="780" max="780" width="5.125" style="1238" customWidth="1"/>
    <col min="781" max="781" width="13.625" style="1238" customWidth="1"/>
    <col min="782" max="1024" width="8.875" style="1238"/>
    <col min="1025" max="1025" width="4.875" style="1238" customWidth="1"/>
    <col min="1026" max="1026" width="13.125" style="1238" customWidth="1"/>
    <col min="1027" max="1027" width="15.625" style="1238" customWidth="1"/>
    <col min="1028" max="1028" width="9.375" style="1238" bestFit="1" customWidth="1"/>
    <col min="1029" max="1029" width="13.5" style="1238" customWidth="1"/>
    <col min="1030" max="1030" width="8.875" style="1238"/>
    <col min="1031" max="1031" width="9.375" style="1238" bestFit="1" customWidth="1"/>
    <col min="1032" max="1033" width="8.875" style="1238"/>
    <col min="1034" max="1034" width="9.375" style="1238" bestFit="1" customWidth="1"/>
    <col min="1035" max="1035" width="4" style="1238" customWidth="1"/>
    <col min="1036" max="1036" width="5.125" style="1238" customWidth="1"/>
    <col min="1037" max="1037" width="13.625" style="1238" customWidth="1"/>
    <col min="1038" max="1280" width="8.875" style="1238"/>
    <col min="1281" max="1281" width="4.875" style="1238" customWidth="1"/>
    <col min="1282" max="1282" width="13.125" style="1238" customWidth="1"/>
    <col min="1283" max="1283" width="15.625" style="1238" customWidth="1"/>
    <col min="1284" max="1284" width="9.375" style="1238" bestFit="1" customWidth="1"/>
    <col min="1285" max="1285" width="13.5" style="1238" customWidth="1"/>
    <col min="1286" max="1286" width="8.875" style="1238"/>
    <col min="1287" max="1287" width="9.375" style="1238" bestFit="1" customWidth="1"/>
    <col min="1288" max="1289" width="8.875" style="1238"/>
    <col min="1290" max="1290" width="9.375" style="1238" bestFit="1" customWidth="1"/>
    <col min="1291" max="1291" width="4" style="1238" customWidth="1"/>
    <col min="1292" max="1292" width="5.125" style="1238" customWidth="1"/>
    <col min="1293" max="1293" width="13.625" style="1238" customWidth="1"/>
    <col min="1294" max="1536" width="8.875" style="1238"/>
    <col min="1537" max="1537" width="4.875" style="1238" customWidth="1"/>
    <col min="1538" max="1538" width="13.125" style="1238" customWidth="1"/>
    <col min="1539" max="1539" width="15.625" style="1238" customWidth="1"/>
    <col min="1540" max="1540" width="9.375" style="1238" bestFit="1" customWidth="1"/>
    <col min="1541" max="1541" width="13.5" style="1238" customWidth="1"/>
    <col min="1542" max="1542" width="8.875" style="1238"/>
    <col min="1543" max="1543" width="9.375" style="1238" bestFit="1" customWidth="1"/>
    <col min="1544" max="1545" width="8.875" style="1238"/>
    <col min="1546" max="1546" width="9.375" style="1238" bestFit="1" customWidth="1"/>
    <col min="1547" max="1547" width="4" style="1238" customWidth="1"/>
    <col min="1548" max="1548" width="5.125" style="1238" customWidth="1"/>
    <col min="1549" max="1549" width="13.625" style="1238" customWidth="1"/>
    <col min="1550" max="1792" width="8.875" style="1238"/>
    <col min="1793" max="1793" width="4.875" style="1238" customWidth="1"/>
    <col min="1794" max="1794" width="13.125" style="1238" customWidth="1"/>
    <col min="1795" max="1795" width="15.625" style="1238" customWidth="1"/>
    <col min="1796" max="1796" width="9.375" style="1238" bestFit="1" customWidth="1"/>
    <col min="1797" max="1797" width="13.5" style="1238" customWidth="1"/>
    <col min="1798" max="1798" width="8.875" style="1238"/>
    <col min="1799" max="1799" width="9.375" style="1238" bestFit="1" customWidth="1"/>
    <col min="1800" max="1801" width="8.875" style="1238"/>
    <col min="1802" max="1802" width="9.375" style="1238" bestFit="1" customWidth="1"/>
    <col min="1803" max="1803" width="4" style="1238" customWidth="1"/>
    <col min="1804" max="1804" width="5.125" style="1238" customWidth="1"/>
    <col min="1805" max="1805" width="13.625" style="1238" customWidth="1"/>
    <col min="1806" max="2048" width="8.875" style="1238"/>
    <col min="2049" max="2049" width="4.875" style="1238" customWidth="1"/>
    <col min="2050" max="2050" width="13.125" style="1238" customWidth="1"/>
    <col min="2051" max="2051" width="15.625" style="1238" customWidth="1"/>
    <col min="2052" max="2052" width="9.375" style="1238" bestFit="1" customWidth="1"/>
    <col min="2053" max="2053" width="13.5" style="1238" customWidth="1"/>
    <col min="2054" max="2054" width="8.875" style="1238"/>
    <col min="2055" max="2055" width="9.375" style="1238" bestFit="1" customWidth="1"/>
    <col min="2056" max="2057" width="8.875" style="1238"/>
    <col min="2058" max="2058" width="9.375" style="1238" bestFit="1" customWidth="1"/>
    <col min="2059" max="2059" width="4" style="1238" customWidth="1"/>
    <col min="2060" max="2060" width="5.125" style="1238" customWidth="1"/>
    <col min="2061" max="2061" width="13.625" style="1238" customWidth="1"/>
    <col min="2062" max="2304" width="8.875" style="1238"/>
    <col min="2305" max="2305" width="4.875" style="1238" customWidth="1"/>
    <col min="2306" max="2306" width="13.125" style="1238" customWidth="1"/>
    <col min="2307" max="2307" width="15.625" style="1238" customWidth="1"/>
    <col min="2308" max="2308" width="9.375" style="1238" bestFit="1" customWidth="1"/>
    <col min="2309" max="2309" width="13.5" style="1238" customWidth="1"/>
    <col min="2310" max="2310" width="8.875" style="1238"/>
    <col min="2311" max="2311" width="9.375" style="1238" bestFit="1" customWidth="1"/>
    <col min="2312" max="2313" width="8.875" style="1238"/>
    <col min="2314" max="2314" width="9.375" style="1238" bestFit="1" customWidth="1"/>
    <col min="2315" max="2315" width="4" style="1238" customWidth="1"/>
    <col min="2316" max="2316" width="5.125" style="1238" customWidth="1"/>
    <col min="2317" max="2317" width="13.625" style="1238" customWidth="1"/>
    <col min="2318" max="2560" width="8.875" style="1238"/>
    <col min="2561" max="2561" width="4.875" style="1238" customWidth="1"/>
    <col min="2562" max="2562" width="13.125" style="1238" customWidth="1"/>
    <col min="2563" max="2563" width="15.625" style="1238" customWidth="1"/>
    <col min="2564" max="2564" width="9.375" style="1238" bestFit="1" customWidth="1"/>
    <col min="2565" max="2565" width="13.5" style="1238" customWidth="1"/>
    <col min="2566" max="2566" width="8.875" style="1238"/>
    <col min="2567" max="2567" width="9.375" style="1238" bestFit="1" customWidth="1"/>
    <col min="2568" max="2569" width="8.875" style="1238"/>
    <col min="2570" max="2570" width="9.375" style="1238" bestFit="1" customWidth="1"/>
    <col min="2571" max="2571" width="4" style="1238" customWidth="1"/>
    <col min="2572" max="2572" width="5.125" style="1238" customWidth="1"/>
    <col min="2573" max="2573" width="13.625" style="1238" customWidth="1"/>
    <col min="2574" max="2816" width="8.875" style="1238"/>
    <col min="2817" max="2817" width="4.875" style="1238" customWidth="1"/>
    <col min="2818" max="2818" width="13.125" style="1238" customWidth="1"/>
    <col min="2819" max="2819" width="15.625" style="1238" customWidth="1"/>
    <col min="2820" max="2820" width="9.375" style="1238" bestFit="1" customWidth="1"/>
    <col min="2821" max="2821" width="13.5" style="1238" customWidth="1"/>
    <col min="2822" max="2822" width="8.875" style="1238"/>
    <col min="2823" max="2823" width="9.375" style="1238" bestFit="1" customWidth="1"/>
    <col min="2824" max="2825" width="8.875" style="1238"/>
    <col min="2826" max="2826" width="9.375" style="1238" bestFit="1" customWidth="1"/>
    <col min="2827" max="2827" width="4" style="1238" customWidth="1"/>
    <col min="2828" max="2828" width="5.125" style="1238" customWidth="1"/>
    <col min="2829" max="2829" width="13.625" style="1238" customWidth="1"/>
    <col min="2830" max="3072" width="8.875" style="1238"/>
    <col min="3073" max="3073" width="4.875" style="1238" customWidth="1"/>
    <col min="3074" max="3074" width="13.125" style="1238" customWidth="1"/>
    <col min="3075" max="3075" width="15.625" style="1238" customWidth="1"/>
    <col min="3076" max="3076" width="9.375" style="1238" bestFit="1" customWidth="1"/>
    <col min="3077" max="3077" width="13.5" style="1238" customWidth="1"/>
    <col min="3078" max="3078" width="8.875" style="1238"/>
    <col min="3079" max="3079" width="9.375" style="1238" bestFit="1" customWidth="1"/>
    <col min="3080" max="3081" width="8.875" style="1238"/>
    <col min="3082" max="3082" width="9.375" style="1238" bestFit="1" customWidth="1"/>
    <col min="3083" max="3083" width="4" style="1238" customWidth="1"/>
    <col min="3084" max="3084" width="5.125" style="1238" customWidth="1"/>
    <col min="3085" max="3085" width="13.625" style="1238" customWidth="1"/>
    <col min="3086" max="3328" width="8.875" style="1238"/>
    <col min="3329" max="3329" width="4.875" style="1238" customWidth="1"/>
    <col min="3330" max="3330" width="13.125" style="1238" customWidth="1"/>
    <col min="3331" max="3331" width="15.625" style="1238" customWidth="1"/>
    <col min="3332" max="3332" width="9.375" style="1238" bestFit="1" customWidth="1"/>
    <col min="3333" max="3333" width="13.5" style="1238" customWidth="1"/>
    <col min="3334" max="3334" width="8.875" style="1238"/>
    <col min="3335" max="3335" width="9.375" style="1238" bestFit="1" customWidth="1"/>
    <col min="3336" max="3337" width="8.875" style="1238"/>
    <col min="3338" max="3338" width="9.375" style="1238" bestFit="1" customWidth="1"/>
    <col min="3339" max="3339" width="4" style="1238" customWidth="1"/>
    <col min="3340" max="3340" width="5.125" style="1238" customWidth="1"/>
    <col min="3341" max="3341" width="13.625" style="1238" customWidth="1"/>
    <col min="3342" max="3584" width="8.875" style="1238"/>
    <col min="3585" max="3585" width="4.875" style="1238" customWidth="1"/>
    <col min="3586" max="3586" width="13.125" style="1238" customWidth="1"/>
    <col min="3587" max="3587" width="15.625" style="1238" customWidth="1"/>
    <col min="3588" max="3588" width="9.375" style="1238" bestFit="1" customWidth="1"/>
    <col min="3589" max="3589" width="13.5" style="1238" customWidth="1"/>
    <col min="3590" max="3590" width="8.875" style="1238"/>
    <col min="3591" max="3591" width="9.375" style="1238" bestFit="1" customWidth="1"/>
    <col min="3592" max="3593" width="8.875" style="1238"/>
    <col min="3594" max="3594" width="9.375" style="1238" bestFit="1" customWidth="1"/>
    <col min="3595" max="3595" width="4" style="1238" customWidth="1"/>
    <col min="3596" max="3596" width="5.125" style="1238" customWidth="1"/>
    <col min="3597" max="3597" width="13.625" style="1238" customWidth="1"/>
    <col min="3598" max="3840" width="8.875" style="1238"/>
    <col min="3841" max="3841" width="4.875" style="1238" customWidth="1"/>
    <col min="3842" max="3842" width="13.125" style="1238" customWidth="1"/>
    <col min="3843" max="3843" width="15.625" style="1238" customWidth="1"/>
    <col min="3844" max="3844" width="9.375" style="1238" bestFit="1" customWidth="1"/>
    <col min="3845" max="3845" width="13.5" style="1238" customWidth="1"/>
    <col min="3846" max="3846" width="8.875" style="1238"/>
    <col min="3847" max="3847" width="9.375" style="1238" bestFit="1" customWidth="1"/>
    <col min="3848" max="3849" width="8.875" style="1238"/>
    <col min="3850" max="3850" width="9.375" style="1238" bestFit="1" customWidth="1"/>
    <col min="3851" max="3851" width="4" style="1238" customWidth="1"/>
    <col min="3852" max="3852" width="5.125" style="1238" customWidth="1"/>
    <col min="3853" max="3853" width="13.625" style="1238" customWidth="1"/>
    <col min="3854" max="4096" width="8.875" style="1238"/>
    <col min="4097" max="4097" width="4.875" style="1238" customWidth="1"/>
    <col min="4098" max="4098" width="13.125" style="1238" customWidth="1"/>
    <col min="4099" max="4099" width="15.625" style="1238" customWidth="1"/>
    <col min="4100" max="4100" width="9.375" style="1238" bestFit="1" customWidth="1"/>
    <col min="4101" max="4101" width="13.5" style="1238" customWidth="1"/>
    <col min="4102" max="4102" width="8.875" style="1238"/>
    <col min="4103" max="4103" width="9.375" style="1238" bestFit="1" customWidth="1"/>
    <col min="4104" max="4105" width="8.875" style="1238"/>
    <col min="4106" max="4106" width="9.375" style="1238" bestFit="1" customWidth="1"/>
    <col min="4107" max="4107" width="4" style="1238" customWidth="1"/>
    <col min="4108" max="4108" width="5.125" style="1238" customWidth="1"/>
    <col min="4109" max="4109" width="13.625" style="1238" customWidth="1"/>
    <col min="4110" max="4352" width="8.875" style="1238"/>
    <col min="4353" max="4353" width="4.875" style="1238" customWidth="1"/>
    <col min="4354" max="4354" width="13.125" style="1238" customWidth="1"/>
    <col min="4355" max="4355" width="15.625" style="1238" customWidth="1"/>
    <col min="4356" max="4356" width="9.375" style="1238" bestFit="1" customWidth="1"/>
    <col min="4357" max="4357" width="13.5" style="1238" customWidth="1"/>
    <col min="4358" max="4358" width="8.875" style="1238"/>
    <col min="4359" max="4359" width="9.375" style="1238" bestFit="1" customWidth="1"/>
    <col min="4360" max="4361" width="8.875" style="1238"/>
    <col min="4362" max="4362" width="9.375" style="1238" bestFit="1" customWidth="1"/>
    <col min="4363" max="4363" width="4" style="1238" customWidth="1"/>
    <col min="4364" max="4364" width="5.125" style="1238" customWidth="1"/>
    <col min="4365" max="4365" width="13.625" style="1238" customWidth="1"/>
    <col min="4366" max="4608" width="8.875" style="1238"/>
    <col min="4609" max="4609" width="4.875" style="1238" customWidth="1"/>
    <col min="4610" max="4610" width="13.125" style="1238" customWidth="1"/>
    <col min="4611" max="4611" width="15.625" style="1238" customWidth="1"/>
    <col min="4612" max="4612" width="9.375" style="1238" bestFit="1" customWidth="1"/>
    <col min="4613" max="4613" width="13.5" style="1238" customWidth="1"/>
    <col min="4614" max="4614" width="8.875" style="1238"/>
    <col min="4615" max="4615" width="9.375" style="1238" bestFit="1" customWidth="1"/>
    <col min="4616" max="4617" width="8.875" style="1238"/>
    <col min="4618" max="4618" width="9.375" style="1238" bestFit="1" customWidth="1"/>
    <col min="4619" max="4619" width="4" style="1238" customWidth="1"/>
    <col min="4620" max="4620" width="5.125" style="1238" customWidth="1"/>
    <col min="4621" max="4621" width="13.625" style="1238" customWidth="1"/>
    <col min="4622" max="4864" width="8.875" style="1238"/>
    <col min="4865" max="4865" width="4.875" style="1238" customWidth="1"/>
    <col min="4866" max="4866" width="13.125" style="1238" customWidth="1"/>
    <col min="4867" max="4867" width="15.625" style="1238" customWidth="1"/>
    <col min="4868" max="4868" width="9.375" style="1238" bestFit="1" customWidth="1"/>
    <col min="4869" max="4869" width="13.5" style="1238" customWidth="1"/>
    <col min="4870" max="4870" width="8.875" style="1238"/>
    <col min="4871" max="4871" width="9.375" style="1238" bestFit="1" customWidth="1"/>
    <col min="4872" max="4873" width="8.875" style="1238"/>
    <col min="4874" max="4874" width="9.375" style="1238" bestFit="1" customWidth="1"/>
    <col min="4875" max="4875" width="4" style="1238" customWidth="1"/>
    <col min="4876" max="4876" width="5.125" style="1238" customWidth="1"/>
    <col min="4877" max="4877" width="13.625" style="1238" customWidth="1"/>
    <col min="4878" max="5120" width="8.875" style="1238"/>
    <col min="5121" max="5121" width="4.875" style="1238" customWidth="1"/>
    <col min="5122" max="5122" width="13.125" style="1238" customWidth="1"/>
    <col min="5123" max="5123" width="15.625" style="1238" customWidth="1"/>
    <col min="5124" max="5124" width="9.375" style="1238" bestFit="1" customWidth="1"/>
    <col min="5125" max="5125" width="13.5" style="1238" customWidth="1"/>
    <col min="5126" max="5126" width="8.875" style="1238"/>
    <col min="5127" max="5127" width="9.375" style="1238" bestFit="1" customWidth="1"/>
    <col min="5128" max="5129" width="8.875" style="1238"/>
    <col min="5130" max="5130" width="9.375" style="1238" bestFit="1" customWidth="1"/>
    <col min="5131" max="5131" width="4" style="1238" customWidth="1"/>
    <col min="5132" max="5132" width="5.125" style="1238" customWidth="1"/>
    <col min="5133" max="5133" width="13.625" style="1238" customWidth="1"/>
    <col min="5134" max="5376" width="8.875" style="1238"/>
    <col min="5377" max="5377" width="4.875" style="1238" customWidth="1"/>
    <col min="5378" max="5378" width="13.125" style="1238" customWidth="1"/>
    <col min="5379" max="5379" width="15.625" style="1238" customWidth="1"/>
    <col min="5380" max="5380" width="9.375" style="1238" bestFit="1" customWidth="1"/>
    <col min="5381" max="5381" width="13.5" style="1238" customWidth="1"/>
    <col min="5382" max="5382" width="8.875" style="1238"/>
    <col min="5383" max="5383" width="9.375" style="1238" bestFit="1" customWidth="1"/>
    <col min="5384" max="5385" width="8.875" style="1238"/>
    <col min="5386" max="5386" width="9.375" style="1238" bestFit="1" customWidth="1"/>
    <col min="5387" max="5387" width="4" style="1238" customWidth="1"/>
    <col min="5388" max="5388" width="5.125" style="1238" customWidth="1"/>
    <col min="5389" max="5389" width="13.625" style="1238" customWidth="1"/>
    <col min="5390" max="5632" width="8.875" style="1238"/>
    <col min="5633" max="5633" width="4.875" style="1238" customWidth="1"/>
    <col min="5634" max="5634" width="13.125" style="1238" customWidth="1"/>
    <col min="5635" max="5635" width="15.625" style="1238" customWidth="1"/>
    <col min="5636" max="5636" width="9.375" style="1238" bestFit="1" customWidth="1"/>
    <col min="5637" max="5637" width="13.5" style="1238" customWidth="1"/>
    <col min="5638" max="5638" width="8.875" style="1238"/>
    <col min="5639" max="5639" width="9.375" style="1238" bestFit="1" customWidth="1"/>
    <col min="5640" max="5641" width="8.875" style="1238"/>
    <col min="5642" max="5642" width="9.375" style="1238" bestFit="1" customWidth="1"/>
    <col min="5643" max="5643" width="4" style="1238" customWidth="1"/>
    <col min="5644" max="5644" width="5.125" style="1238" customWidth="1"/>
    <col min="5645" max="5645" width="13.625" style="1238" customWidth="1"/>
    <col min="5646" max="5888" width="8.875" style="1238"/>
    <col min="5889" max="5889" width="4.875" style="1238" customWidth="1"/>
    <col min="5890" max="5890" width="13.125" style="1238" customWidth="1"/>
    <col min="5891" max="5891" width="15.625" style="1238" customWidth="1"/>
    <col min="5892" max="5892" width="9.375" style="1238" bestFit="1" customWidth="1"/>
    <col min="5893" max="5893" width="13.5" style="1238" customWidth="1"/>
    <col min="5894" max="5894" width="8.875" style="1238"/>
    <col min="5895" max="5895" width="9.375" style="1238" bestFit="1" customWidth="1"/>
    <col min="5896" max="5897" width="8.875" style="1238"/>
    <col min="5898" max="5898" width="9.375" style="1238" bestFit="1" customWidth="1"/>
    <col min="5899" max="5899" width="4" style="1238" customWidth="1"/>
    <col min="5900" max="5900" width="5.125" style="1238" customWidth="1"/>
    <col min="5901" max="5901" width="13.625" style="1238" customWidth="1"/>
    <col min="5902" max="6144" width="8.875" style="1238"/>
    <col min="6145" max="6145" width="4.875" style="1238" customWidth="1"/>
    <col min="6146" max="6146" width="13.125" style="1238" customWidth="1"/>
    <col min="6147" max="6147" width="15.625" style="1238" customWidth="1"/>
    <col min="6148" max="6148" width="9.375" style="1238" bestFit="1" customWidth="1"/>
    <col min="6149" max="6149" width="13.5" style="1238" customWidth="1"/>
    <col min="6150" max="6150" width="8.875" style="1238"/>
    <col min="6151" max="6151" width="9.375" style="1238" bestFit="1" customWidth="1"/>
    <col min="6152" max="6153" width="8.875" style="1238"/>
    <col min="6154" max="6154" width="9.375" style="1238" bestFit="1" customWidth="1"/>
    <col min="6155" max="6155" width="4" style="1238" customWidth="1"/>
    <col min="6156" max="6156" width="5.125" style="1238" customWidth="1"/>
    <col min="6157" max="6157" width="13.625" style="1238" customWidth="1"/>
    <col min="6158" max="6400" width="8.875" style="1238"/>
    <col min="6401" max="6401" width="4.875" style="1238" customWidth="1"/>
    <col min="6402" max="6402" width="13.125" style="1238" customWidth="1"/>
    <col min="6403" max="6403" width="15.625" style="1238" customWidth="1"/>
    <col min="6404" max="6404" width="9.375" style="1238" bestFit="1" customWidth="1"/>
    <col min="6405" max="6405" width="13.5" style="1238" customWidth="1"/>
    <col min="6406" max="6406" width="8.875" style="1238"/>
    <col min="6407" max="6407" width="9.375" style="1238" bestFit="1" customWidth="1"/>
    <col min="6408" max="6409" width="8.875" style="1238"/>
    <col min="6410" max="6410" width="9.375" style="1238" bestFit="1" customWidth="1"/>
    <col min="6411" max="6411" width="4" style="1238" customWidth="1"/>
    <col min="6412" max="6412" width="5.125" style="1238" customWidth="1"/>
    <col min="6413" max="6413" width="13.625" style="1238" customWidth="1"/>
    <col min="6414" max="6656" width="8.875" style="1238"/>
    <col min="6657" max="6657" width="4.875" style="1238" customWidth="1"/>
    <col min="6658" max="6658" width="13.125" style="1238" customWidth="1"/>
    <col min="6659" max="6659" width="15.625" style="1238" customWidth="1"/>
    <col min="6660" max="6660" width="9.375" style="1238" bestFit="1" customWidth="1"/>
    <col min="6661" max="6661" width="13.5" style="1238" customWidth="1"/>
    <col min="6662" max="6662" width="8.875" style="1238"/>
    <col min="6663" max="6663" width="9.375" style="1238" bestFit="1" customWidth="1"/>
    <col min="6664" max="6665" width="8.875" style="1238"/>
    <col min="6666" max="6666" width="9.375" style="1238" bestFit="1" customWidth="1"/>
    <col min="6667" max="6667" width="4" style="1238" customWidth="1"/>
    <col min="6668" max="6668" width="5.125" style="1238" customWidth="1"/>
    <col min="6669" max="6669" width="13.625" style="1238" customWidth="1"/>
    <col min="6670" max="6912" width="8.875" style="1238"/>
    <col min="6913" max="6913" width="4.875" style="1238" customWidth="1"/>
    <col min="6914" max="6914" width="13.125" style="1238" customWidth="1"/>
    <col min="6915" max="6915" width="15.625" style="1238" customWidth="1"/>
    <col min="6916" max="6916" width="9.375" style="1238" bestFit="1" customWidth="1"/>
    <col min="6917" max="6917" width="13.5" style="1238" customWidth="1"/>
    <col min="6918" max="6918" width="8.875" style="1238"/>
    <col min="6919" max="6919" width="9.375" style="1238" bestFit="1" customWidth="1"/>
    <col min="6920" max="6921" width="8.875" style="1238"/>
    <col min="6922" max="6922" width="9.375" style="1238" bestFit="1" customWidth="1"/>
    <col min="6923" max="6923" width="4" style="1238" customWidth="1"/>
    <col min="6924" max="6924" width="5.125" style="1238" customWidth="1"/>
    <col min="6925" max="6925" width="13.625" style="1238" customWidth="1"/>
    <col min="6926" max="7168" width="8.875" style="1238"/>
    <col min="7169" max="7169" width="4.875" style="1238" customWidth="1"/>
    <col min="7170" max="7170" width="13.125" style="1238" customWidth="1"/>
    <col min="7171" max="7171" width="15.625" style="1238" customWidth="1"/>
    <col min="7172" max="7172" width="9.375" style="1238" bestFit="1" customWidth="1"/>
    <col min="7173" max="7173" width="13.5" style="1238" customWidth="1"/>
    <col min="7174" max="7174" width="8.875" style="1238"/>
    <col min="7175" max="7175" width="9.375" style="1238" bestFit="1" customWidth="1"/>
    <col min="7176" max="7177" width="8.875" style="1238"/>
    <col min="7178" max="7178" width="9.375" style="1238" bestFit="1" customWidth="1"/>
    <col min="7179" max="7179" width="4" style="1238" customWidth="1"/>
    <col min="7180" max="7180" width="5.125" style="1238" customWidth="1"/>
    <col min="7181" max="7181" width="13.625" style="1238" customWidth="1"/>
    <col min="7182" max="7424" width="8.875" style="1238"/>
    <col min="7425" max="7425" width="4.875" style="1238" customWidth="1"/>
    <col min="7426" max="7426" width="13.125" style="1238" customWidth="1"/>
    <col min="7427" max="7427" width="15.625" style="1238" customWidth="1"/>
    <col min="7428" max="7428" width="9.375" style="1238" bestFit="1" customWidth="1"/>
    <col min="7429" max="7429" width="13.5" style="1238" customWidth="1"/>
    <col min="7430" max="7430" width="8.875" style="1238"/>
    <col min="7431" max="7431" width="9.375" style="1238" bestFit="1" customWidth="1"/>
    <col min="7432" max="7433" width="8.875" style="1238"/>
    <col min="7434" max="7434" width="9.375" style="1238" bestFit="1" customWidth="1"/>
    <col min="7435" max="7435" width="4" style="1238" customWidth="1"/>
    <col min="7436" max="7436" width="5.125" style="1238" customWidth="1"/>
    <col min="7437" max="7437" width="13.625" style="1238" customWidth="1"/>
    <col min="7438" max="7680" width="8.875" style="1238"/>
    <col min="7681" max="7681" width="4.875" style="1238" customWidth="1"/>
    <col min="7682" max="7682" width="13.125" style="1238" customWidth="1"/>
    <col min="7683" max="7683" width="15.625" style="1238" customWidth="1"/>
    <col min="7684" max="7684" width="9.375" style="1238" bestFit="1" customWidth="1"/>
    <col min="7685" max="7685" width="13.5" style="1238" customWidth="1"/>
    <col min="7686" max="7686" width="8.875" style="1238"/>
    <col min="7687" max="7687" width="9.375" style="1238" bestFit="1" customWidth="1"/>
    <col min="7688" max="7689" width="8.875" style="1238"/>
    <col min="7690" max="7690" width="9.375" style="1238" bestFit="1" customWidth="1"/>
    <col min="7691" max="7691" width="4" style="1238" customWidth="1"/>
    <col min="7692" max="7692" width="5.125" style="1238" customWidth="1"/>
    <col min="7693" max="7693" width="13.625" style="1238" customWidth="1"/>
    <col min="7694" max="7936" width="8.875" style="1238"/>
    <col min="7937" max="7937" width="4.875" style="1238" customWidth="1"/>
    <col min="7938" max="7938" width="13.125" style="1238" customWidth="1"/>
    <col min="7939" max="7939" width="15.625" style="1238" customWidth="1"/>
    <col min="7940" max="7940" width="9.375" style="1238" bestFit="1" customWidth="1"/>
    <col min="7941" max="7941" width="13.5" style="1238" customWidth="1"/>
    <col min="7942" max="7942" width="8.875" style="1238"/>
    <col min="7943" max="7943" width="9.375" style="1238" bestFit="1" customWidth="1"/>
    <col min="7944" max="7945" width="8.875" style="1238"/>
    <col min="7946" max="7946" width="9.375" style="1238" bestFit="1" customWidth="1"/>
    <col min="7947" max="7947" width="4" style="1238" customWidth="1"/>
    <col min="7948" max="7948" width="5.125" style="1238" customWidth="1"/>
    <col min="7949" max="7949" width="13.625" style="1238" customWidth="1"/>
    <col min="7950" max="8192" width="8.875" style="1238"/>
    <col min="8193" max="8193" width="4.875" style="1238" customWidth="1"/>
    <col min="8194" max="8194" width="13.125" style="1238" customWidth="1"/>
    <col min="8195" max="8195" width="15.625" style="1238" customWidth="1"/>
    <col min="8196" max="8196" width="9.375" style="1238" bestFit="1" customWidth="1"/>
    <col min="8197" max="8197" width="13.5" style="1238" customWidth="1"/>
    <col min="8198" max="8198" width="8.875" style="1238"/>
    <col min="8199" max="8199" width="9.375" style="1238" bestFit="1" customWidth="1"/>
    <col min="8200" max="8201" width="8.875" style="1238"/>
    <col min="8202" max="8202" width="9.375" style="1238" bestFit="1" customWidth="1"/>
    <col min="8203" max="8203" width="4" style="1238" customWidth="1"/>
    <col min="8204" max="8204" width="5.125" style="1238" customWidth="1"/>
    <col min="8205" max="8205" width="13.625" style="1238" customWidth="1"/>
    <col min="8206" max="8448" width="8.875" style="1238"/>
    <col min="8449" max="8449" width="4.875" style="1238" customWidth="1"/>
    <col min="8450" max="8450" width="13.125" style="1238" customWidth="1"/>
    <col min="8451" max="8451" width="15.625" style="1238" customWidth="1"/>
    <col min="8452" max="8452" width="9.375" style="1238" bestFit="1" customWidth="1"/>
    <col min="8453" max="8453" width="13.5" style="1238" customWidth="1"/>
    <col min="8454" max="8454" width="8.875" style="1238"/>
    <col min="8455" max="8455" width="9.375" style="1238" bestFit="1" customWidth="1"/>
    <col min="8456" max="8457" width="8.875" style="1238"/>
    <col min="8458" max="8458" width="9.375" style="1238" bestFit="1" customWidth="1"/>
    <col min="8459" max="8459" width="4" style="1238" customWidth="1"/>
    <col min="8460" max="8460" width="5.125" style="1238" customWidth="1"/>
    <col min="8461" max="8461" width="13.625" style="1238" customWidth="1"/>
    <col min="8462" max="8704" width="8.875" style="1238"/>
    <col min="8705" max="8705" width="4.875" style="1238" customWidth="1"/>
    <col min="8706" max="8706" width="13.125" style="1238" customWidth="1"/>
    <col min="8707" max="8707" width="15.625" style="1238" customWidth="1"/>
    <col min="8708" max="8708" width="9.375" style="1238" bestFit="1" customWidth="1"/>
    <col min="8709" max="8709" width="13.5" style="1238" customWidth="1"/>
    <col min="8710" max="8710" width="8.875" style="1238"/>
    <col min="8711" max="8711" width="9.375" style="1238" bestFit="1" customWidth="1"/>
    <col min="8712" max="8713" width="8.875" style="1238"/>
    <col min="8714" max="8714" width="9.375" style="1238" bestFit="1" customWidth="1"/>
    <col min="8715" max="8715" width="4" style="1238" customWidth="1"/>
    <col min="8716" max="8716" width="5.125" style="1238" customWidth="1"/>
    <col min="8717" max="8717" width="13.625" style="1238" customWidth="1"/>
    <col min="8718" max="8960" width="8.875" style="1238"/>
    <col min="8961" max="8961" width="4.875" style="1238" customWidth="1"/>
    <col min="8962" max="8962" width="13.125" style="1238" customWidth="1"/>
    <col min="8963" max="8963" width="15.625" style="1238" customWidth="1"/>
    <col min="8964" max="8964" width="9.375" style="1238" bestFit="1" customWidth="1"/>
    <col min="8965" max="8965" width="13.5" style="1238" customWidth="1"/>
    <col min="8966" max="8966" width="8.875" style="1238"/>
    <col min="8967" max="8967" width="9.375" style="1238" bestFit="1" customWidth="1"/>
    <col min="8968" max="8969" width="8.875" style="1238"/>
    <col min="8970" max="8970" width="9.375" style="1238" bestFit="1" customWidth="1"/>
    <col min="8971" max="8971" width="4" style="1238" customWidth="1"/>
    <col min="8972" max="8972" width="5.125" style="1238" customWidth="1"/>
    <col min="8973" max="8973" width="13.625" style="1238" customWidth="1"/>
    <col min="8974" max="9216" width="8.875" style="1238"/>
    <col min="9217" max="9217" width="4.875" style="1238" customWidth="1"/>
    <col min="9218" max="9218" width="13.125" style="1238" customWidth="1"/>
    <col min="9219" max="9219" width="15.625" style="1238" customWidth="1"/>
    <col min="9220" max="9220" width="9.375" style="1238" bestFit="1" customWidth="1"/>
    <col min="9221" max="9221" width="13.5" style="1238" customWidth="1"/>
    <col min="9222" max="9222" width="8.875" style="1238"/>
    <col min="9223" max="9223" width="9.375" style="1238" bestFit="1" customWidth="1"/>
    <col min="9224" max="9225" width="8.875" style="1238"/>
    <col min="9226" max="9226" width="9.375" style="1238" bestFit="1" customWidth="1"/>
    <col min="9227" max="9227" width="4" style="1238" customWidth="1"/>
    <col min="9228" max="9228" width="5.125" style="1238" customWidth="1"/>
    <col min="9229" max="9229" width="13.625" style="1238" customWidth="1"/>
    <col min="9230" max="9472" width="8.875" style="1238"/>
    <col min="9473" max="9473" width="4.875" style="1238" customWidth="1"/>
    <col min="9474" max="9474" width="13.125" style="1238" customWidth="1"/>
    <col min="9475" max="9475" width="15.625" style="1238" customWidth="1"/>
    <col min="9476" max="9476" width="9.375" style="1238" bestFit="1" customWidth="1"/>
    <col min="9477" max="9477" width="13.5" style="1238" customWidth="1"/>
    <col min="9478" max="9478" width="8.875" style="1238"/>
    <col min="9479" max="9479" width="9.375" style="1238" bestFit="1" customWidth="1"/>
    <col min="9480" max="9481" width="8.875" style="1238"/>
    <col min="9482" max="9482" width="9.375" style="1238" bestFit="1" customWidth="1"/>
    <col min="9483" max="9483" width="4" style="1238" customWidth="1"/>
    <col min="9484" max="9484" width="5.125" style="1238" customWidth="1"/>
    <col min="9485" max="9485" width="13.625" style="1238" customWidth="1"/>
    <col min="9486" max="9728" width="8.875" style="1238"/>
    <col min="9729" max="9729" width="4.875" style="1238" customWidth="1"/>
    <col min="9730" max="9730" width="13.125" style="1238" customWidth="1"/>
    <col min="9731" max="9731" width="15.625" style="1238" customWidth="1"/>
    <col min="9732" max="9732" width="9.375" style="1238" bestFit="1" customWidth="1"/>
    <col min="9733" max="9733" width="13.5" style="1238" customWidth="1"/>
    <col min="9734" max="9734" width="8.875" style="1238"/>
    <col min="9735" max="9735" width="9.375" style="1238" bestFit="1" customWidth="1"/>
    <col min="9736" max="9737" width="8.875" style="1238"/>
    <col min="9738" max="9738" width="9.375" style="1238" bestFit="1" customWidth="1"/>
    <col min="9739" max="9739" width="4" style="1238" customWidth="1"/>
    <col min="9740" max="9740" width="5.125" style="1238" customWidth="1"/>
    <col min="9741" max="9741" width="13.625" style="1238" customWidth="1"/>
    <col min="9742" max="9984" width="8.875" style="1238"/>
    <col min="9985" max="9985" width="4.875" style="1238" customWidth="1"/>
    <col min="9986" max="9986" width="13.125" style="1238" customWidth="1"/>
    <col min="9987" max="9987" width="15.625" style="1238" customWidth="1"/>
    <col min="9988" max="9988" width="9.375" style="1238" bestFit="1" customWidth="1"/>
    <col min="9989" max="9989" width="13.5" style="1238" customWidth="1"/>
    <col min="9990" max="9990" width="8.875" style="1238"/>
    <col min="9991" max="9991" width="9.375" style="1238" bestFit="1" customWidth="1"/>
    <col min="9992" max="9993" width="8.875" style="1238"/>
    <col min="9994" max="9994" width="9.375" style="1238" bestFit="1" customWidth="1"/>
    <col min="9995" max="9995" width="4" style="1238" customWidth="1"/>
    <col min="9996" max="9996" width="5.125" style="1238" customWidth="1"/>
    <col min="9997" max="9997" width="13.625" style="1238" customWidth="1"/>
    <col min="9998" max="10240" width="8.875" style="1238"/>
    <col min="10241" max="10241" width="4.875" style="1238" customWidth="1"/>
    <col min="10242" max="10242" width="13.125" style="1238" customWidth="1"/>
    <col min="10243" max="10243" width="15.625" style="1238" customWidth="1"/>
    <col min="10244" max="10244" width="9.375" style="1238" bestFit="1" customWidth="1"/>
    <col min="10245" max="10245" width="13.5" style="1238" customWidth="1"/>
    <col min="10246" max="10246" width="8.875" style="1238"/>
    <col min="10247" max="10247" width="9.375" style="1238" bestFit="1" customWidth="1"/>
    <col min="10248" max="10249" width="8.875" style="1238"/>
    <col min="10250" max="10250" width="9.375" style="1238" bestFit="1" customWidth="1"/>
    <col min="10251" max="10251" width="4" style="1238" customWidth="1"/>
    <col min="10252" max="10252" width="5.125" style="1238" customWidth="1"/>
    <col min="10253" max="10253" width="13.625" style="1238" customWidth="1"/>
    <col min="10254" max="10496" width="8.875" style="1238"/>
    <col min="10497" max="10497" width="4.875" style="1238" customWidth="1"/>
    <col min="10498" max="10498" width="13.125" style="1238" customWidth="1"/>
    <col min="10499" max="10499" width="15.625" style="1238" customWidth="1"/>
    <col min="10500" max="10500" width="9.375" style="1238" bestFit="1" customWidth="1"/>
    <col min="10501" max="10501" width="13.5" style="1238" customWidth="1"/>
    <col min="10502" max="10502" width="8.875" style="1238"/>
    <col min="10503" max="10503" width="9.375" style="1238" bestFit="1" customWidth="1"/>
    <col min="10504" max="10505" width="8.875" style="1238"/>
    <col min="10506" max="10506" width="9.375" style="1238" bestFit="1" customWidth="1"/>
    <col min="10507" max="10507" width="4" style="1238" customWidth="1"/>
    <col min="10508" max="10508" width="5.125" style="1238" customWidth="1"/>
    <col min="10509" max="10509" width="13.625" style="1238" customWidth="1"/>
    <col min="10510" max="10752" width="8.875" style="1238"/>
    <col min="10753" max="10753" width="4.875" style="1238" customWidth="1"/>
    <col min="10754" max="10754" width="13.125" style="1238" customWidth="1"/>
    <col min="10755" max="10755" width="15.625" style="1238" customWidth="1"/>
    <col min="10756" max="10756" width="9.375" style="1238" bestFit="1" customWidth="1"/>
    <col min="10757" max="10757" width="13.5" style="1238" customWidth="1"/>
    <col min="10758" max="10758" width="8.875" style="1238"/>
    <col min="10759" max="10759" width="9.375" style="1238" bestFit="1" customWidth="1"/>
    <col min="10760" max="10761" width="8.875" style="1238"/>
    <col min="10762" max="10762" width="9.375" style="1238" bestFit="1" customWidth="1"/>
    <col min="10763" max="10763" width="4" style="1238" customWidth="1"/>
    <col min="10764" max="10764" width="5.125" style="1238" customWidth="1"/>
    <col min="10765" max="10765" width="13.625" style="1238" customWidth="1"/>
    <col min="10766" max="11008" width="8.875" style="1238"/>
    <col min="11009" max="11009" width="4.875" style="1238" customWidth="1"/>
    <col min="11010" max="11010" width="13.125" style="1238" customWidth="1"/>
    <col min="11011" max="11011" width="15.625" style="1238" customWidth="1"/>
    <col min="11012" max="11012" width="9.375" style="1238" bestFit="1" customWidth="1"/>
    <col min="11013" max="11013" width="13.5" style="1238" customWidth="1"/>
    <col min="11014" max="11014" width="8.875" style="1238"/>
    <col min="11015" max="11015" width="9.375" style="1238" bestFit="1" customWidth="1"/>
    <col min="11016" max="11017" width="8.875" style="1238"/>
    <col min="11018" max="11018" width="9.375" style="1238" bestFit="1" customWidth="1"/>
    <col min="11019" max="11019" width="4" style="1238" customWidth="1"/>
    <col min="11020" max="11020" width="5.125" style="1238" customWidth="1"/>
    <col min="11021" max="11021" width="13.625" style="1238" customWidth="1"/>
    <col min="11022" max="11264" width="8.875" style="1238"/>
    <col min="11265" max="11265" width="4.875" style="1238" customWidth="1"/>
    <col min="11266" max="11266" width="13.125" style="1238" customWidth="1"/>
    <col min="11267" max="11267" width="15.625" style="1238" customWidth="1"/>
    <col min="11268" max="11268" width="9.375" style="1238" bestFit="1" customWidth="1"/>
    <col min="11269" max="11269" width="13.5" style="1238" customWidth="1"/>
    <col min="11270" max="11270" width="8.875" style="1238"/>
    <col min="11271" max="11271" width="9.375" style="1238" bestFit="1" customWidth="1"/>
    <col min="11272" max="11273" width="8.875" style="1238"/>
    <col min="11274" max="11274" width="9.375" style="1238" bestFit="1" customWidth="1"/>
    <col min="11275" max="11275" width="4" style="1238" customWidth="1"/>
    <col min="11276" max="11276" width="5.125" style="1238" customWidth="1"/>
    <col min="11277" max="11277" width="13.625" style="1238" customWidth="1"/>
    <col min="11278" max="11520" width="8.875" style="1238"/>
    <col min="11521" max="11521" width="4.875" style="1238" customWidth="1"/>
    <col min="11522" max="11522" width="13.125" style="1238" customWidth="1"/>
    <col min="11523" max="11523" width="15.625" style="1238" customWidth="1"/>
    <col min="11524" max="11524" width="9.375" style="1238" bestFit="1" customWidth="1"/>
    <col min="11525" max="11525" width="13.5" style="1238" customWidth="1"/>
    <col min="11526" max="11526" width="8.875" style="1238"/>
    <col min="11527" max="11527" width="9.375" style="1238" bestFit="1" customWidth="1"/>
    <col min="11528" max="11529" width="8.875" style="1238"/>
    <col min="11530" max="11530" width="9.375" style="1238" bestFit="1" customWidth="1"/>
    <col min="11531" max="11531" width="4" style="1238" customWidth="1"/>
    <col min="11532" max="11532" width="5.125" style="1238" customWidth="1"/>
    <col min="11533" max="11533" width="13.625" style="1238" customWidth="1"/>
    <col min="11534" max="11776" width="8.875" style="1238"/>
    <col min="11777" max="11777" width="4.875" style="1238" customWidth="1"/>
    <col min="11778" max="11778" width="13.125" style="1238" customWidth="1"/>
    <col min="11779" max="11779" width="15.625" style="1238" customWidth="1"/>
    <col min="11780" max="11780" width="9.375" style="1238" bestFit="1" customWidth="1"/>
    <col min="11781" max="11781" width="13.5" style="1238" customWidth="1"/>
    <col min="11782" max="11782" width="8.875" style="1238"/>
    <col min="11783" max="11783" width="9.375" style="1238" bestFit="1" customWidth="1"/>
    <col min="11784" max="11785" width="8.875" style="1238"/>
    <col min="11786" max="11786" width="9.375" style="1238" bestFit="1" customWidth="1"/>
    <col min="11787" max="11787" width="4" style="1238" customWidth="1"/>
    <col min="11788" max="11788" width="5.125" style="1238" customWidth="1"/>
    <col min="11789" max="11789" width="13.625" style="1238" customWidth="1"/>
    <col min="11790" max="12032" width="8.875" style="1238"/>
    <col min="12033" max="12033" width="4.875" style="1238" customWidth="1"/>
    <col min="12034" max="12034" width="13.125" style="1238" customWidth="1"/>
    <col min="12035" max="12035" width="15.625" style="1238" customWidth="1"/>
    <col min="12036" max="12036" width="9.375" style="1238" bestFit="1" customWidth="1"/>
    <col min="12037" max="12037" width="13.5" style="1238" customWidth="1"/>
    <col min="12038" max="12038" width="8.875" style="1238"/>
    <col min="12039" max="12039" width="9.375" style="1238" bestFit="1" customWidth="1"/>
    <col min="12040" max="12041" width="8.875" style="1238"/>
    <col min="12042" max="12042" width="9.375" style="1238" bestFit="1" customWidth="1"/>
    <col min="12043" max="12043" width="4" style="1238" customWidth="1"/>
    <col min="12044" max="12044" width="5.125" style="1238" customWidth="1"/>
    <col min="12045" max="12045" width="13.625" style="1238" customWidth="1"/>
    <col min="12046" max="12288" width="8.875" style="1238"/>
    <col min="12289" max="12289" width="4.875" style="1238" customWidth="1"/>
    <col min="12290" max="12290" width="13.125" style="1238" customWidth="1"/>
    <col min="12291" max="12291" width="15.625" style="1238" customWidth="1"/>
    <col min="12292" max="12292" width="9.375" style="1238" bestFit="1" customWidth="1"/>
    <col min="12293" max="12293" width="13.5" style="1238" customWidth="1"/>
    <col min="12294" max="12294" width="8.875" style="1238"/>
    <col min="12295" max="12295" width="9.375" style="1238" bestFit="1" customWidth="1"/>
    <col min="12296" max="12297" width="8.875" style="1238"/>
    <col min="12298" max="12298" width="9.375" style="1238" bestFit="1" customWidth="1"/>
    <col min="12299" max="12299" width="4" style="1238" customWidth="1"/>
    <col min="12300" max="12300" width="5.125" style="1238" customWidth="1"/>
    <col min="12301" max="12301" width="13.625" style="1238" customWidth="1"/>
    <col min="12302" max="12544" width="8.875" style="1238"/>
    <col min="12545" max="12545" width="4.875" style="1238" customWidth="1"/>
    <col min="12546" max="12546" width="13.125" style="1238" customWidth="1"/>
    <col min="12547" max="12547" width="15.625" style="1238" customWidth="1"/>
    <col min="12548" max="12548" width="9.375" style="1238" bestFit="1" customWidth="1"/>
    <col min="12549" max="12549" width="13.5" style="1238" customWidth="1"/>
    <col min="12550" max="12550" width="8.875" style="1238"/>
    <col min="12551" max="12551" width="9.375" style="1238" bestFit="1" customWidth="1"/>
    <col min="12552" max="12553" width="8.875" style="1238"/>
    <col min="12554" max="12554" width="9.375" style="1238" bestFit="1" customWidth="1"/>
    <col min="12555" max="12555" width="4" style="1238" customWidth="1"/>
    <col min="12556" max="12556" width="5.125" style="1238" customWidth="1"/>
    <col min="12557" max="12557" width="13.625" style="1238" customWidth="1"/>
    <col min="12558" max="12800" width="8.875" style="1238"/>
    <col min="12801" max="12801" width="4.875" style="1238" customWidth="1"/>
    <col min="12802" max="12802" width="13.125" style="1238" customWidth="1"/>
    <col min="12803" max="12803" width="15.625" style="1238" customWidth="1"/>
    <col min="12804" max="12804" width="9.375" style="1238" bestFit="1" customWidth="1"/>
    <col min="12805" max="12805" width="13.5" style="1238" customWidth="1"/>
    <col min="12806" max="12806" width="8.875" style="1238"/>
    <col min="12807" max="12807" width="9.375" style="1238" bestFit="1" customWidth="1"/>
    <col min="12808" max="12809" width="8.875" style="1238"/>
    <col min="12810" max="12810" width="9.375" style="1238" bestFit="1" customWidth="1"/>
    <col min="12811" max="12811" width="4" style="1238" customWidth="1"/>
    <col min="12812" max="12812" width="5.125" style="1238" customWidth="1"/>
    <col min="12813" max="12813" width="13.625" style="1238" customWidth="1"/>
    <col min="12814" max="13056" width="8.875" style="1238"/>
    <col min="13057" max="13057" width="4.875" style="1238" customWidth="1"/>
    <col min="13058" max="13058" width="13.125" style="1238" customWidth="1"/>
    <col min="13059" max="13059" width="15.625" style="1238" customWidth="1"/>
    <col min="13060" max="13060" width="9.375" style="1238" bestFit="1" customWidth="1"/>
    <col min="13061" max="13061" width="13.5" style="1238" customWidth="1"/>
    <col min="13062" max="13062" width="8.875" style="1238"/>
    <col min="13063" max="13063" width="9.375" style="1238" bestFit="1" customWidth="1"/>
    <col min="13064" max="13065" width="8.875" style="1238"/>
    <col min="13066" max="13066" width="9.375" style="1238" bestFit="1" customWidth="1"/>
    <col min="13067" max="13067" width="4" style="1238" customWidth="1"/>
    <col min="13068" max="13068" width="5.125" style="1238" customWidth="1"/>
    <col min="13069" max="13069" width="13.625" style="1238" customWidth="1"/>
    <col min="13070" max="13312" width="8.875" style="1238"/>
    <col min="13313" max="13313" width="4.875" style="1238" customWidth="1"/>
    <col min="13314" max="13314" width="13.125" style="1238" customWidth="1"/>
    <col min="13315" max="13315" width="15.625" style="1238" customWidth="1"/>
    <col min="13316" max="13316" width="9.375" style="1238" bestFit="1" customWidth="1"/>
    <col min="13317" max="13317" width="13.5" style="1238" customWidth="1"/>
    <col min="13318" max="13318" width="8.875" style="1238"/>
    <col min="13319" max="13319" width="9.375" style="1238" bestFit="1" customWidth="1"/>
    <col min="13320" max="13321" width="8.875" style="1238"/>
    <col min="13322" max="13322" width="9.375" style="1238" bestFit="1" customWidth="1"/>
    <col min="13323" max="13323" width="4" style="1238" customWidth="1"/>
    <col min="13324" max="13324" width="5.125" style="1238" customWidth="1"/>
    <col min="13325" max="13325" width="13.625" style="1238" customWidth="1"/>
    <col min="13326" max="13568" width="8.875" style="1238"/>
    <col min="13569" max="13569" width="4.875" style="1238" customWidth="1"/>
    <col min="13570" max="13570" width="13.125" style="1238" customWidth="1"/>
    <col min="13571" max="13571" width="15.625" style="1238" customWidth="1"/>
    <col min="13572" max="13572" width="9.375" style="1238" bestFit="1" customWidth="1"/>
    <col min="13573" max="13573" width="13.5" style="1238" customWidth="1"/>
    <col min="13574" max="13574" width="8.875" style="1238"/>
    <col min="13575" max="13575" width="9.375" style="1238" bestFit="1" customWidth="1"/>
    <col min="13576" max="13577" width="8.875" style="1238"/>
    <col min="13578" max="13578" width="9.375" style="1238" bestFit="1" customWidth="1"/>
    <col min="13579" max="13579" width="4" style="1238" customWidth="1"/>
    <col min="13580" max="13580" width="5.125" style="1238" customWidth="1"/>
    <col min="13581" max="13581" width="13.625" style="1238" customWidth="1"/>
    <col min="13582" max="13824" width="8.875" style="1238"/>
    <col min="13825" max="13825" width="4.875" style="1238" customWidth="1"/>
    <col min="13826" max="13826" width="13.125" style="1238" customWidth="1"/>
    <col min="13827" max="13827" width="15.625" style="1238" customWidth="1"/>
    <col min="13828" max="13828" width="9.375" style="1238" bestFit="1" customWidth="1"/>
    <col min="13829" max="13829" width="13.5" style="1238" customWidth="1"/>
    <col min="13830" max="13830" width="8.875" style="1238"/>
    <col min="13831" max="13831" width="9.375" style="1238" bestFit="1" customWidth="1"/>
    <col min="13832" max="13833" width="8.875" style="1238"/>
    <col min="13834" max="13834" width="9.375" style="1238" bestFit="1" customWidth="1"/>
    <col min="13835" max="13835" width="4" style="1238" customWidth="1"/>
    <col min="13836" max="13836" width="5.125" style="1238" customWidth="1"/>
    <col min="13837" max="13837" width="13.625" style="1238" customWidth="1"/>
    <col min="13838" max="14080" width="8.875" style="1238"/>
    <col min="14081" max="14081" width="4.875" style="1238" customWidth="1"/>
    <col min="14082" max="14082" width="13.125" style="1238" customWidth="1"/>
    <col min="14083" max="14083" width="15.625" style="1238" customWidth="1"/>
    <col min="14084" max="14084" width="9.375" style="1238" bestFit="1" customWidth="1"/>
    <col min="14085" max="14085" width="13.5" style="1238" customWidth="1"/>
    <col min="14086" max="14086" width="8.875" style="1238"/>
    <col min="14087" max="14087" width="9.375" style="1238" bestFit="1" customWidth="1"/>
    <col min="14088" max="14089" width="8.875" style="1238"/>
    <col min="14090" max="14090" width="9.375" style="1238" bestFit="1" customWidth="1"/>
    <col min="14091" max="14091" width="4" style="1238" customWidth="1"/>
    <col min="14092" max="14092" width="5.125" style="1238" customWidth="1"/>
    <col min="14093" max="14093" width="13.625" style="1238" customWidth="1"/>
    <col min="14094" max="14336" width="8.875" style="1238"/>
    <col min="14337" max="14337" width="4.875" style="1238" customWidth="1"/>
    <col min="14338" max="14338" width="13.125" style="1238" customWidth="1"/>
    <col min="14339" max="14339" width="15.625" style="1238" customWidth="1"/>
    <col min="14340" max="14340" width="9.375" style="1238" bestFit="1" customWidth="1"/>
    <col min="14341" max="14341" width="13.5" style="1238" customWidth="1"/>
    <col min="14342" max="14342" width="8.875" style="1238"/>
    <col min="14343" max="14343" width="9.375" style="1238" bestFit="1" customWidth="1"/>
    <col min="14344" max="14345" width="8.875" style="1238"/>
    <col min="14346" max="14346" width="9.375" style="1238" bestFit="1" customWidth="1"/>
    <col min="14347" max="14347" width="4" style="1238" customWidth="1"/>
    <col min="14348" max="14348" width="5.125" style="1238" customWidth="1"/>
    <col min="14349" max="14349" width="13.625" style="1238" customWidth="1"/>
    <col min="14350" max="14592" width="8.875" style="1238"/>
    <col min="14593" max="14593" width="4.875" style="1238" customWidth="1"/>
    <col min="14594" max="14594" width="13.125" style="1238" customWidth="1"/>
    <col min="14595" max="14595" width="15.625" style="1238" customWidth="1"/>
    <col min="14596" max="14596" width="9.375" style="1238" bestFit="1" customWidth="1"/>
    <col min="14597" max="14597" width="13.5" style="1238" customWidth="1"/>
    <col min="14598" max="14598" width="8.875" style="1238"/>
    <col min="14599" max="14599" width="9.375" style="1238" bestFit="1" customWidth="1"/>
    <col min="14600" max="14601" width="8.875" style="1238"/>
    <col min="14602" max="14602" width="9.375" style="1238" bestFit="1" customWidth="1"/>
    <col min="14603" max="14603" width="4" style="1238" customWidth="1"/>
    <col min="14604" max="14604" width="5.125" style="1238" customWidth="1"/>
    <col min="14605" max="14605" width="13.625" style="1238" customWidth="1"/>
    <col min="14606" max="14848" width="8.875" style="1238"/>
    <col min="14849" max="14849" width="4.875" style="1238" customWidth="1"/>
    <col min="14850" max="14850" width="13.125" style="1238" customWidth="1"/>
    <col min="14851" max="14851" width="15.625" style="1238" customWidth="1"/>
    <col min="14852" max="14852" width="9.375" style="1238" bestFit="1" customWidth="1"/>
    <col min="14853" max="14853" width="13.5" style="1238" customWidth="1"/>
    <col min="14854" max="14854" width="8.875" style="1238"/>
    <col min="14855" max="14855" width="9.375" style="1238" bestFit="1" customWidth="1"/>
    <col min="14856" max="14857" width="8.875" style="1238"/>
    <col min="14858" max="14858" width="9.375" style="1238" bestFit="1" customWidth="1"/>
    <col min="14859" max="14859" width="4" style="1238" customWidth="1"/>
    <col min="14860" max="14860" width="5.125" style="1238" customWidth="1"/>
    <col min="14861" max="14861" width="13.625" style="1238" customWidth="1"/>
    <col min="14862" max="15104" width="8.875" style="1238"/>
    <col min="15105" max="15105" width="4.875" style="1238" customWidth="1"/>
    <col min="15106" max="15106" width="13.125" style="1238" customWidth="1"/>
    <col min="15107" max="15107" width="15.625" style="1238" customWidth="1"/>
    <col min="15108" max="15108" width="9.375" style="1238" bestFit="1" customWidth="1"/>
    <col min="15109" max="15109" width="13.5" style="1238" customWidth="1"/>
    <col min="15110" max="15110" width="8.875" style="1238"/>
    <col min="15111" max="15111" width="9.375" style="1238" bestFit="1" customWidth="1"/>
    <col min="15112" max="15113" width="8.875" style="1238"/>
    <col min="15114" max="15114" width="9.375" style="1238" bestFit="1" customWidth="1"/>
    <col min="15115" max="15115" width="4" style="1238" customWidth="1"/>
    <col min="15116" max="15116" width="5.125" style="1238" customWidth="1"/>
    <col min="15117" max="15117" width="13.625" style="1238" customWidth="1"/>
    <col min="15118" max="15360" width="8.875" style="1238"/>
    <col min="15361" max="15361" width="4.875" style="1238" customWidth="1"/>
    <col min="15362" max="15362" width="13.125" style="1238" customWidth="1"/>
    <col min="15363" max="15363" width="15.625" style="1238" customWidth="1"/>
    <col min="15364" max="15364" width="9.375" style="1238" bestFit="1" customWidth="1"/>
    <col min="15365" max="15365" width="13.5" style="1238" customWidth="1"/>
    <col min="15366" max="15366" width="8.875" style="1238"/>
    <col min="15367" max="15367" width="9.375" style="1238" bestFit="1" customWidth="1"/>
    <col min="15368" max="15369" width="8.875" style="1238"/>
    <col min="15370" max="15370" width="9.375" style="1238" bestFit="1" customWidth="1"/>
    <col min="15371" max="15371" width="4" style="1238" customWidth="1"/>
    <col min="15372" max="15372" width="5.125" style="1238" customWidth="1"/>
    <col min="15373" max="15373" width="13.625" style="1238" customWidth="1"/>
    <col min="15374" max="15616" width="8.875" style="1238"/>
    <col min="15617" max="15617" width="4.875" style="1238" customWidth="1"/>
    <col min="15618" max="15618" width="13.125" style="1238" customWidth="1"/>
    <col min="15619" max="15619" width="15.625" style="1238" customWidth="1"/>
    <col min="15620" max="15620" width="9.375" style="1238" bestFit="1" customWidth="1"/>
    <col min="15621" max="15621" width="13.5" style="1238" customWidth="1"/>
    <col min="15622" max="15622" width="8.875" style="1238"/>
    <col min="15623" max="15623" width="9.375" style="1238" bestFit="1" customWidth="1"/>
    <col min="15624" max="15625" width="8.875" style="1238"/>
    <col min="15626" max="15626" width="9.375" style="1238" bestFit="1" customWidth="1"/>
    <col min="15627" max="15627" width="4" style="1238" customWidth="1"/>
    <col min="15628" max="15628" width="5.125" style="1238" customWidth="1"/>
    <col min="15629" max="15629" width="13.625" style="1238" customWidth="1"/>
    <col min="15630" max="15872" width="8.875" style="1238"/>
    <col min="15873" max="15873" width="4.875" style="1238" customWidth="1"/>
    <col min="15874" max="15874" width="13.125" style="1238" customWidth="1"/>
    <col min="15875" max="15875" width="15.625" style="1238" customWidth="1"/>
    <col min="15876" max="15876" width="9.375" style="1238" bestFit="1" customWidth="1"/>
    <col min="15877" max="15877" width="13.5" style="1238" customWidth="1"/>
    <col min="15878" max="15878" width="8.875" style="1238"/>
    <col min="15879" max="15879" width="9.375" style="1238" bestFit="1" customWidth="1"/>
    <col min="15880" max="15881" width="8.875" style="1238"/>
    <col min="15882" max="15882" width="9.375" style="1238" bestFit="1" customWidth="1"/>
    <col min="15883" max="15883" width="4" style="1238" customWidth="1"/>
    <col min="15884" max="15884" width="5.125" style="1238" customWidth="1"/>
    <col min="15885" max="15885" width="13.625" style="1238" customWidth="1"/>
    <col min="15886" max="16128" width="8.875" style="1238"/>
    <col min="16129" max="16129" width="4.875" style="1238" customWidth="1"/>
    <col min="16130" max="16130" width="13.125" style="1238" customWidth="1"/>
    <col min="16131" max="16131" width="15.625" style="1238" customWidth="1"/>
    <col min="16132" max="16132" width="9.375" style="1238" bestFit="1" customWidth="1"/>
    <col min="16133" max="16133" width="13.5" style="1238" customWidth="1"/>
    <col min="16134" max="16134" width="8.875" style="1238"/>
    <col min="16135" max="16135" width="9.375" style="1238" bestFit="1" customWidth="1"/>
    <col min="16136" max="16137" width="8.875" style="1238"/>
    <col min="16138" max="16138" width="9.375" style="1238" bestFit="1" customWidth="1"/>
    <col min="16139" max="16139" width="4" style="1238" customWidth="1"/>
    <col min="16140" max="16140" width="5.125" style="1238" customWidth="1"/>
    <col min="16141" max="16141" width="13.625" style="1238" customWidth="1"/>
    <col min="16142" max="16384" width="8.875" style="1238"/>
  </cols>
  <sheetData>
    <row r="1" spans="1:257" s="1300" customFormat="1" ht="15" thickBot="1">
      <c r="A1" s="1294"/>
      <c r="B1" s="1301" t="s">
        <v>602</v>
      </c>
      <c r="C1" s="1295">
        <f>项目基本情况!D3</f>
        <v>45131</v>
      </c>
      <c r="D1" s="1301" t="s">
        <v>603</v>
      </c>
      <c r="E1" s="1296">
        <f>'数据-取费表'!B22</f>
        <v>1</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7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7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c r="A21" s="1283"/>
      <c r="B21" s="2813" t="s">
        <v>2313</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3" t="str">
        <f>IF(项目基本情况!B9="房地产市场价值","估价结果一览表","结果表-2")</f>
        <v>估价结果一览表</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房地产市场价值</v>
      </c>
      <c r="I2" s="3504"/>
    </row>
    <row r="3" spans="1:9" ht="15">
      <c r="A3" s="3499"/>
      <c r="B3" s="3499"/>
      <c r="C3" s="3499"/>
      <c r="D3" s="854" t="s">
        <v>925</v>
      </c>
      <c r="E3" s="854" t="s">
        <v>931</v>
      </c>
      <c r="F3" s="854" t="s">
        <v>925</v>
      </c>
      <c r="G3" s="854" t="s">
        <v>926</v>
      </c>
      <c r="H3" s="854" t="s">
        <v>925</v>
      </c>
      <c r="I3" s="854" t="s">
        <v>926</v>
      </c>
    </row>
    <row r="4" spans="1:9" ht="15">
      <c r="A4" s="1504" t="str">
        <f>项目基本情况!S2</f>
        <v>北京市房地产</v>
      </c>
      <c r="B4" s="854">
        <f>项目基本情况!C17</f>
        <v>56.8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9" t="s">
        <v>927</v>
      </c>
      <c r="B5" s="3499"/>
      <c r="C5" s="3499"/>
      <c r="D5" s="3499" t="e">
        <f ca="1">结果表!D119</f>
        <v>#REF!</v>
      </c>
      <c r="E5" s="3499"/>
      <c r="F5" s="3499" t="e">
        <f ca="1">结果表!F119</f>
        <v>#REF!</v>
      </c>
      <c r="G5" s="3499"/>
      <c r="H5" s="3499" t="e">
        <f ca="1">结果表!H119</f>
        <v>#REF!</v>
      </c>
      <c r="I5" s="3499"/>
    </row>
    <row r="6" spans="1:9" ht="15.75">
      <c r="A6" s="3498" t="str">
        <f>结果表!A120</f>
        <v/>
      </c>
      <c r="B6" s="3498"/>
      <c r="C6" s="3498"/>
      <c r="D6" s="3498">
        <f>结果表!D120</f>
        <v>0</v>
      </c>
      <c r="E6" s="3498"/>
      <c r="F6" s="3498"/>
      <c r="G6" s="3498"/>
      <c r="H6" s="3498"/>
      <c r="I6" s="3498"/>
    </row>
    <row r="7" spans="1:9" ht="15">
      <c r="A7" s="3499" t="s">
        <v>927</v>
      </c>
      <c r="B7" s="3499"/>
      <c r="C7" s="3499"/>
      <c r="D7" s="3500" t="str">
        <f>结果表!D121</f>
        <v>零元整</v>
      </c>
      <c r="E7" s="3501"/>
      <c r="F7" s="3501"/>
      <c r="G7" s="3501"/>
      <c r="H7" s="3501"/>
      <c r="I7" s="3502"/>
    </row>
    <row r="8" spans="1:9" ht="15.75">
      <c r="A8" s="3498" t="str">
        <f>结果表!A122</f>
        <v/>
      </c>
      <c r="B8" s="3498"/>
      <c r="C8" s="3498"/>
      <c r="D8" s="3498" t="e">
        <f ca="1">结果表!D122</f>
        <v>#REF!</v>
      </c>
      <c r="E8" s="3498"/>
      <c r="F8" s="3498"/>
      <c r="G8" s="3498"/>
      <c r="H8" s="3498"/>
      <c r="I8" s="3498"/>
    </row>
    <row r="9" spans="1:9" ht="15">
      <c r="A9" s="3499" t="s">
        <v>927</v>
      </c>
      <c r="B9" s="3499"/>
      <c r="C9" s="3499"/>
      <c r="D9" s="3499" t="e">
        <f ca="1">结果表!D123</f>
        <v>#REF!</v>
      </c>
      <c r="E9" s="3499"/>
      <c r="F9" s="3499"/>
      <c r="G9" s="3499"/>
      <c r="H9" s="3499"/>
      <c r="I9" s="3499"/>
    </row>
    <row r="10" spans="1:9" ht="15.75">
      <c r="A10" s="3498" t="str">
        <f>结果表!A124</f>
        <v/>
      </c>
      <c r="B10" s="3498"/>
      <c r="C10" s="3498"/>
      <c r="D10" s="3498" t="str">
        <f>结果表!D124</f>
        <v>——</v>
      </c>
      <c r="E10" s="3498"/>
      <c r="F10" s="3498"/>
      <c r="G10" s="3498"/>
      <c r="H10" s="3498"/>
      <c r="I10" s="3498"/>
    </row>
    <row r="11" spans="1:9" ht="15">
      <c r="A11" s="3499" t="s">
        <v>927</v>
      </c>
      <c r="B11" s="3499"/>
      <c r="C11" s="3499"/>
      <c r="D11" s="3499" t="e">
        <f>结果表!D125</f>
        <v>#VALUE!</v>
      </c>
      <c r="E11" s="3499"/>
      <c r="F11" s="3499"/>
      <c r="G11" s="3499"/>
      <c r="H11" s="3499"/>
      <c r="I11" s="3499"/>
    </row>
    <row r="12" spans="1:9" ht="15.75">
      <c r="A12" s="3498" t="str">
        <f>结果表!A126</f>
        <v/>
      </c>
      <c r="B12" s="3498"/>
      <c r="C12" s="3498"/>
      <c r="D12" s="3498" t="str">
        <f>结果表!D126</f>
        <v>——</v>
      </c>
      <c r="E12" s="3498"/>
      <c r="F12" s="3498"/>
      <c r="G12" s="3498"/>
      <c r="H12" s="3498"/>
      <c r="I12" s="3498"/>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1" t="s">
        <v>949</v>
      </c>
      <c r="B1" s="3511"/>
      <c r="C1" s="3511"/>
      <c r="D1" s="3511"/>
    </row>
    <row r="2" spans="1:4" ht="18">
      <c r="A2" s="3512" t="s">
        <v>933</v>
      </c>
      <c r="B2" s="3512"/>
      <c r="C2" s="3512"/>
      <c r="D2" s="351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2" t="s">
        <v>939</v>
      </c>
      <c r="B6" s="3512"/>
      <c r="C6" s="3512"/>
      <c r="D6" s="351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3"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0"/>
      <c r="C12" s="3510"/>
      <c r="D12" s="3510"/>
    </row>
    <row r="13" spans="1:4" ht="30" customHeight="1">
      <c r="A13" s="3505" t="str">
        <f>IF(项目基本情况!B8="抵押","3.抵押双方在办理抵押登记手续时，应使用本公司出具的正式《房地产评估报告》，特提醒报告使用者注意。","——")</f>
        <v>——</v>
      </c>
      <c r="B13" s="3510"/>
      <c r="C13" s="3510"/>
      <c r="D13" s="3510"/>
    </row>
    <row r="14" spans="1:4" ht="15.75" customHeight="1">
      <c r="A14" s="3505" t="str">
        <f>IF(项目基本情况!B8="抵押","4.本次评估估价师所知悉的法定优先受偿款情况说明如下：","——")</f>
        <v>——</v>
      </c>
      <c r="B14" s="3510"/>
      <c r="C14" s="3510"/>
      <c r="D14" s="3510"/>
    </row>
    <row r="15" spans="1:4" ht="42" customHeight="1">
      <c r="A15" s="3505" t="str">
        <f>IF(项目基本情况!B8="抵押","（1）"&amp;CONCATENATE(项目基本情况!L20,项目基本情况!L21,项目基本情况!L22),"——")</f>
        <v>——</v>
      </c>
      <c r="B15" s="3505"/>
      <c r="C15" s="3505"/>
      <c r="D15" s="3505"/>
    </row>
    <row r="16" spans="1:4" ht="30" customHeight="1">
      <c r="A16" s="3507" t="s">
        <v>943</v>
      </c>
      <c r="B16" s="3507"/>
      <c r="C16" s="3507"/>
      <c r="D16" s="3507"/>
    </row>
    <row r="17" spans="1:4" ht="144" customHeight="1">
      <c r="A17" s="3507" t="s">
        <v>944</v>
      </c>
      <c r="B17" s="3507"/>
      <c r="C17" s="3507"/>
      <c r="D17" s="3507"/>
    </row>
    <row r="18" spans="1:4" ht="15.75" customHeight="1">
      <c r="A18" s="3505" t="str">
        <f>IF(项目基本情况!B8="抵押",结果表!K120,"——")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5"/>
      <c r="C20" s="3505"/>
      <c r="D20" s="3505"/>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8"/>
      <c r="C21" s="3508"/>
      <c r="D21" s="3508"/>
    </row>
    <row r="22" spans="1:4" ht="18.75" customHeight="1">
      <c r="A22" s="3509" t="s">
        <v>945</v>
      </c>
      <c r="B22" s="3509"/>
      <c r="C22" s="3509"/>
      <c r="D22" s="350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6">
        <v>42551</v>
      </c>
      <c r="D31" s="35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474" customWidth="1"/>
    <col min="3" max="10" width="12.5" style="1474" customWidth="1"/>
    <col min="11" max="16384" width="9" style="1474"/>
  </cols>
  <sheetData>
    <row r="1" spans="1:10" ht="18">
      <c r="A1" s="1507" t="s">
        <v>391</v>
      </c>
      <c r="B1" s="1518"/>
      <c r="C1" s="1518"/>
      <c r="D1" s="1518"/>
      <c r="E1" s="1518"/>
      <c r="F1" s="1518"/>
      <c r="G1" s="1518"/>
      <c r="H1" s="1518"/>
      <c r="I1" s="1518"/>
      <c r="J1" s="1518"/>
    </row>
    <row r="2" spans="1:10" ht="18">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4" customWidth="1"/>
    <col min="2" max="16384" width="14.5" style="1506"/>
  </cols>
  <sheetData>
    <row r="1" spans="1:7" s="1521" customFormat="1" ht="18">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25">
      <c r="A15" s="3519" t="s">
        <v>956</v>
      </c>
      <c r="B15" s="3514" t="s">
        <v>109</v>
      </c>
      <c r="C15" s="3515"/>
    </row>
    <row r="16" spans="1:7" ht="14.25">
      <c r="A16" s="3520"/>
      <c r="B16" s="3514" t="s">
        <v>42</v>
      </c>
      <c r="C16" s="3515"/>
    </row>
    <row r="17" spans="1:3" ht="14.25">
      <c r="A17" s="3520"/>
      <c r="B17" s="3517" t="s">
        <v>957</v>
      </c>
      <c r="C17" s="1531" t="s">
        <v>956</v>
      </c>
    </row>
    <row r="18" spans="1:3" ht="14.25">
      <c r="A18" s="3520"/>
      <c r="B18" s="3517"/>
      <c r="C18" s="1531" t="s">
        <v>958</v>
      </c>
    </row>
    <row r="19" spans="1:3" ht="14.25">
      <c r="A19" s="3520"/>
      <c r="B19" s="3517"/>
      <c r="C19" s="1531" t="s">
        <v>959</v>
      </c>
    </row>
    <row r="20" spans="1:3" ht="14.25">
      <c r="A20" s="3521"/>
      <c r="B20" s="3516" t="s">
        <v>960</v>
      </c>
      <c r="C20" s="3515"/>
    </row>
    <row r="21" spans="1:3" ht="14.25">
      <c r="A21" s="1532" t="s">
        <v>961</v>
      </c>
      <c r="B21" s="1533"/>
      <c r="C21" s="1534"/>
    </row>
    <row r="22" spans="1:3" ht="14.25">
      <c r="A22" s="3518" t="s">
        <v>962</v>
      </c>
      <c r="B22" s="3516" t="s">
        <v>963</v>
      </c>
      <c r="C22" s="3515"/>
    </row>
    <row r="23" spans="1:3" ht="14.25">
      <c r="A23" s="3518"/>
      <c r="B23" s="3516" t="s">
        <v>964</v>
      </c>
      <c r="C23" s="3515"/>
    </row>
    <row r="24" spans="1:3" ht="14.25">
      <c r="A24" s="3518"/>
      <c r="B24" s="3516" t="s">
        <v>965</v>
      </c>
      <c r="C24" s="3515"/>
    </row>
    <row r="25" spans="1:3" ht="14.25">
      <c r="A25" s="3518"/>
      <c r="B25" s="3517" t="s">
        <v>966</v>
      </c>
      <c r="C25" s="1531" t="s">
        <v>967</v>
      </c>
    </row>
    <row r="26" spans="1:3" ht="14.25">
      <c r="A26" s="3518"/>
      <c r="B26" s="3517"/>
      <c r="C26" s="1531" t="s">
        <v>968</v>
      </c>
    </row>
    <row r="27" spans="1:3" ht="14.25">
      <c r="A27" s="3518"/>
      <c r="B27" s="3517"/>
      <c r="C27" s="1531" t="s">
        <v>969</v>
      </c>
    </row>
    <row r="28" spans="1:3" ht="14.25">
      <c r="A28" s="3518"/>
      <c r="B28" s="3517"/>
      <c r="C28" s="1531" t="s">
        <v>970</v>
      </c>
    </row>
    <row r="29" spans="1:3" ht="14.25">
      <c r="A29" s="3518"/>
      <c r="B29" s="3517"/>
      <c r="C29" s="1531" t="s">
        <v>971</v>
      </c>
    </row>
    <row r="30" spans="1:3" ht="14.25">
      <c r="A30" s="3518"/>
      <c r="B30" s="3517"/>
      <c r="C30" s="1531" t="s">
        <v>972</v>
      </c>
    </row>
    <row r="31" spans="1:3" ht="14.25">
      <c r="A31" s="3518"/>
      <c r="B31" s="3517"/>
      <c r="C31" s="1531" t="s">
        <v>973</v>
      </c>
    </row>
    <row r="32" spans="1:3" ht="14.25">
      <c r="A32" s="3518"/>
      <c r="B32" s="3517"/>
      <c r="C32" s="1531" t="s">
        <v>974</v>
      </c>
    </row>
    <row r="33" spans="1:3" ht="14.25">
      <c r="A33" s="3518"/>
      <c r="B33" s="3517"/>
      <c r="C33" s="1531" t="s">
        <v>975</v>
      </c>
    </row>
    <row r="34" spans="1:3">
      <c r="A34" s="1535" t="s">
        <v>49</v>
      </c>
    </row>
    <row r="37" spans="1:3">
      <c r="A37" s="1535" t="s">
        <v>976</v>
      </c>
    </row>
    <row r="38" spans="1:3" ht="14.25">
      <c r="A38" s="1536" t="s">
        <v>50</v>
      </c>
    </row>
    <row r="39" spans="1:3" ht="14.25">
      <c r="A39" s="1536" t="s">
        <v>51</v>
      </c>
    </row>
    <row r="40" spans="1:3" ht="14.25">
      <c r="A40" s="1536" t="s">
        <v>52</v>
      </c>
    </row>
    <row r="41" spans="1:3" ht="14.25">
      <c r="A41" s="1537" t="s">
        <v>53</v>
      </c>
    </row>
    <row r="42" spans="1:3" ht="14.2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45148</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2440</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22" t="s">
        <v>2160</v>
      </c>
      <c r="B17" s="3522"/>
      <c r="C17" s="3522"/>
      <c r="D17" s="3522"/>
      <c r="E17" s="3522"/>
      <c r="F17" s="3522"/>
      <c r="G17" s="3522"/>
      <c r="H17" s="3522"/>
    </row>
    <row r="18" spans="1:8" ht="24" customHeight="1">
      <c r="A18" s="3523" t="s">
        <v>2161</v>
      </c>
      <c r="B18" s="3523"/>
      <c r="C18" s="3523"/>
      <c r="D18" s="2340"/>
      <c r="E18" s="3524" t="s">
        <v>2162</v>
      </c>
      <c r="F18" s="3523"/>
      <c r="G18" s="3523"/>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租金案例</vt:lpstr>
      <vt:lpstr>比较法-住宅</vt:lpstr>
      <vt:lpstr>成交案例</vt:lpstr>
      <vt:lpstr>系统读取表</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2023-08-10T02:13:17Z</dcterms:modified>
</cp:coreProperties>
</file>