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案例" sheetId="78"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23" i="1" l="1"/>
  <c r="N26" i="1"/>
  <c r="F20" i="6"/>
  <c r="G17" i="74"/>
  <c r="D17" i="74"/>
  <c r="C17" i="74"/>
  <c r="B17" i="74"/>
  <c r="O73" i="77"/>
  <c r="B9" i="77"/>
  <c r="B10" i="77"/>
  <c r="B11" i="77"/>
  <c r="B12" i="77"/>
  <c r="B13" i="77"/>
  <c r="B14" i="77"/>
  <c r="B15" i="77"/>
  <c r="B16" i="77"/>
  <c r="B17" i="77"/>
  <c r="B18"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8" i="77"/>
  <c r="I18" i="31"/>
  <c r="Y6" i="1"/>
  <c r="C36" i="33"/>
  <c r="F19" i="6"/>
  <c r="E19" i="6"/>
  <c r="C33" i="33"/>
  <c r="D3" i="4"/>
  <c r="B2" i="1"/>
  <c r="C7" i="33"/>
  <c r="I7" i="33"/>
  <c r="G7" i="33"/>
  <c r="E7" i="33"/>
  <c r="K5" i="3"/>
  <c r="G20" i="6"/>
  <c r="F73" i="77"/>
  <c r="E73" i="77"/>
  <c r="N25" i="1"/>
  <c r="G2" i="43"/>
  <c r="C6" i="43"/>
  <c r="H17" i="43"/>
  <c r="I17" i="43"/>
  <c r="J17" i="43"/>
  <c r="K17" i="43"/>
  <c r="L17" i="43"/>
  <c r="M17" i="43"/>
  <c r="N17" i="43"/>
  <c r="O17" i="43"/>
  <c r="G17" i="43"/>
  <c r="M15" i="45"/>
  <c r="L15" i="45"/>
  <c r="K15" i="45"/>
  <c r="J15" i="45"/>
  <c r="I15" i="45"/>
  <c r="H15" i="45"/>
  <c r="G15" i="45"/>
  <c r="F15" i="45"/>
  <c r="E15" i="45"/>
  <c r="D15" i="45"/>
  <c r="C15" i="45"/>
  <c r="B15" i="45"/>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AD6" i="71"/>
  <c r="AH6" i="71"/>
  <c r="AG6" i="71"/>
  <c r="AE6" i="71"/>
  <c r="AF6" i="71"/>
  <c r="Q6" i="71"/>
  <c r="Q7" i="71"/>
  <c r="Q8" i="71"/>
  <c r="Q9" i="71"/>
  <c r="Q10" i="71"/>
  <c r="Q11" i="71"/>
  <c r="Q12" i="71"/>
  <c r="Q13" i="71"/>
  <c r="Q14" i="71"/>
  <c r="Q15" i="71"/>
  <c r="Q16" i="71"/>
  <c r="Q17" i="71"/>
  <c r="Q18" i="71"/>
  <c r="Q19" i="71"/>
  <c r="Q20" i="71"/>
  <c r="Q21" i="71"/>
  <c r="Q22" i="71"/>
  <c r="Q23" i="71"/>
  <c r="Q24" i="71"/>
  <c r="Q25" i="71"/>
  <c r="AB5" i="71"/>
  <c r="P11" i="71"/>
  <c r="P12" i="71"/>
  <c r="P13" i="71"/>
  <c r="P14" i="71"/>
  <c r="P15" i="71"/>
  <c r="P16" i="71"/>
  <c r="P17" i="71"/>
  <c r="P18" i="71"/>
  <c r="P19" i="71"/>
  <c r="P20" i="71"/>
  <c r="P21" i="71"/>
  <c r="P22" i="71"/>
  <c r="P23" i="71"/>
  <c r="P24" i="71"/>
  <c r="P25" i="71"/>
  <c r="AA5" i="71"/>
  <c r="O11" i="71"/>
  <c r="O12" i="71"/>
  <c r="O13" i="71"/>
  <c r="O14" i="71"/>
  <c r="O15" i="71"/>
  <c r="O16" i="71"/>
  <c r="O17" i="71"/>
  <c r="O18" i="71"/>
  <c r="O19" i="71"/>
  <c r="O20" i="71"/>
  <c r="O21" i="71"/>
  <c r="O22" i="71"/>
  <c r="O23" i="71"/>
  <c r="O24" i="71"/>
  <c r="O25" i="71"/>
  <c r="Y5" i="71"/>
  <c r="Z5" i="71"/>
  <c r="N11" i="71"/>
  <c r="N12" i="71"/>
  <c r="N13" i="71"/>
  <c r="N14" i="71"/>
  <c r="N15" i="71"/>
  <c r="N16" i="71"/>
  <c r="N17" i="71"/>
  <c r="N18" i="71"/>
  <c r="N19" i="71"/>
  <c r="N20" i="71"/>
  <c r="N21" i="71"/>
  <c r="N22" i="71"/>
  <c r="N23" i="71"/>
  <c r="N24" i="71"/>
  <c r="N25" i="71"/>
  <c r="X5" i="71"/>
  <c r="G20" i="43"/>
  <c r="E41" i="43"/>
  <c r="C41" i="43"/>
  <c r="L3" i="71"/>
  <c r="AH3" i="71"/>
  <c r="K3" i="71"/>
  <c r="AG3" i="71"/>
  <c r="J3" i="71"/>
  <c r="AE3" i="71"/>
  <c r="I3" i="71"/>
  <c r="AH7" i="71"/>
  <c r="AG7" i="71"/>
  <c r="AE7" i="71"/>
  <c r="AF7" i="71"/>
  <c r="AD7" i="71"/>
  <c r="AB6" i="71"/>
  <c r="AB7" i="71"/>
  <c r="AA6" i="71"/>
  <c r="AA7" i="71"/>
  <c r="Y7" i="71"/>
  <c r="Z7" i="71"/>
  <c r="X6" i="71"/>
  <c r="X7" i="71"/>
  <c r="F10" i="71"/>
  <c r="F9" i="71"/>
  <c r="F8" i="71"/>
  <c r="B5" i="71"/>
  <c r="X8" i="71"/>
  <c r="AH8" i="71"/>
  <c r="AG8" i="71"/>
  <c r="AE8" i="71"/>
  <c r="AF8" i="71"/>
  <c r="AD8" i="71"/>
  <c r="AB8" i="71"/>
  <c r="AA8" i="71"/>
  <c r="Y8" i="71"/>
  <c r="Z8" i="71"/>
  <c r="D8" i="71"/>
  <c r="D9" i="71"/>
  <c r="M19" i="43"/>
  <c r="M47" i="67"/>
  <c r="J53" i="67"/>
  <c r="D11" i="71"/>
  <c r="AH9" i="71"/>
  <c r="AG9" i="71"/>
  <c r="AE9" i="71"/>
  <c r="AF9" i="71"/>
  <c r="AD9" i="71"/>
  <c r="AD10" i="71"/>
  <c r="AG10" i="71"/>
  <c r="AH10" i="71"/>
  <c r="AE10" i="71"/>
  <c r="AF10" i="71"/>
  <c r="X9" i="71"/>
  <c r="AB9" i="71"/>
  <c r="AA9" i="71"/>
  <c r="Y9" i="71"/>
  <c r="Z9" i="71"/>
  <c r="T10" i="71"/>
  <c r="S10" i="71"/>
  <c r="V10" i="71"/>
  <c r="D10" i="71"/>
  <c r="U10" i="71"/>
  <c r="AB10" i="71"/>
  <c r="Y10" i="71"/>
  <c r="Z10" i="71"/>
  <c r="X10" i="71"/>
  <c r="AA10"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c r="F21" i="33"/>
  <c r="AA21" i="33"/>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J21" i="33"/>
  <c r="W21" i="33"/>
  <c r="F83" i="21"/>
  <c r="H21" i="21"/>
  <c r="F38" i="69"/>
  <c r="E37" i="69"/>
  <c r="F36" i="69"/>
  <c r="F35" i="69"/>
  <c r="F21" i="69"/>
  <c r="C21" i="69"/>
  <c r="F20" i="69"/>
  <c r="E10" i="69"/>
  <c r="E9" i="69"/>
  <c r="F7" i="69"/>
  <c r="C7" i="69"/>
  <c r="AC21" i="37"/>
  <c r="W21" i="37"/>
  <c r="AC21" i="34"/>
  <c r="W21" i="34"/>
  <c r="AC21" i="33"/>
  <c r="AB21" i="21"/>
  <c r="U21" i="21"/>
  <c r="G83" i="21"/>
  <c r="J21" i="21"/>
  <c r="F38" i="68"/>
  <c r="E37" i="68"/>
  <c r="F36" i="68"/>
  <c r="F35" i="68"/>
  <c r="F21" i="68"/>
  <c r="C21" i="68"/>
  <c r="F20" i="68"/>
  <c r="E10" i="68"/>
  <c r="E9" i="68"/>
  <c r="F7" i="68"/>
  <c r="C7" i="68"/>
  <c r="C5" i="68"/>
  <c r="W21" i="21"/>
  <c r="AC21" i="21"/>
  <c r="C40" i="68"/>
  <c r="Q72" i="67"/>
  <c r="Q59" i="67"/>
  <c r="Q58" i="67"/>
  <c r="Q51" i="67"/>
  <c r="J50"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94"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S304" i="31"/>
  <c r="R305" i="31"/>
  <c r="S305" i="31"/>
  <c r="R306" i="31"/>
  <c r="R307" i="31"/>
  <c r="S307" i="31"/>
  <c r="R308" i="31"/>
  <c r="R309" i="31"/>
  <c r="S309" i="31"/>
  <c r="R310" i="31"/>
  <c r="R311" i="31"/>
  <c r="S311" i="31"/>
  <c r="R312" i="31"/>
  <c r="S312" i="31"/>
  <c r="R313" i="31"/>
  <c r="S313" i="31"/>
  <c r="R314" i="31"/>
  <c r="R315" i="31"/>
  <c r="S315" i="31"/>
  <c r="R316" i="31"/>
  <c r="R317" i="31"/>
  <c r="S317" i="31"/>
  <c r="R318" i="31"/>
  <c r="R319" i="31"/>
  <c r="S319" i="31"/>
  <c r="R320" i="31"/>
  <c r="S320" i="31"/>
  <c r="R321" i="31"/>
  <c r="S321" i="31"/>
  <c r="R322" i="31"/>
  <c r="R323" i="31"/>
  <c r="S323" i="31"/>
  <c r="R324" i="31"/>
  <c r="R325" i="31"/>
  <c r="S325" i="31"/>
  <c r="R326" i="31"/>
  <c r="S326" i="31"/>
  <c r="R327" i="31"/>
  <c r="S327" i="31"/>
  <c r="R328" i="31"/>
  <c r="R329" i="31"/>
  <c r="S329" i="31"/>
  <c r="R330" i="31"/>
  <c r="R331" i="31"/>
  <c r="S331" i="31"/>
  <c r="R332" i="31"/>
  <c r="R333" i="31"/>
  <c r="S333" i="31"/>
  <c r="R334" i="31"/>
  <c r="S334" i="31"/>
  <c r="R335" i="31"/>
  <c r="S335" i="31"/>
  <c r="R336" i="31"/>
  <c r="R337" i="31"/>
  <c r="S337" i="31"/>
  <c r="R338" i="31"/>
  <c r="R339" i="31"/>
  <c r="S339" i="31"/>
  <c r="R340" i="31"/>
  <c r="R341" i="31"/>
  <c r="S341" i="31"/>
  <c r="R342" i="31"/>
  <c r="S342" i="31"/>
  <c r="R343" i="31"/>
  <c r="S343" i="31"/>
  <c r="R344" i="31"/>
  <c r="R345" i="31"/>
  <c r="S345" i="31"/>
  <c r="R346" i="31"/>
  <c r="R347" i="31"/>
  <c r="S347" i="31"/>
  <c r="R348" i="31"/>
  <c r="R349" i="31"/>
  <c r="S349" i="31"/>
  <c r="R350" i="31"/>
  <c r="S350" i="31"/>
  <c r="R351" i="31"/>
  <c r="S351" i="31"/>
  <c r="R352" i="31"/>
  <c r="R353" i="31"/>
  <c r="S353" i="31"/>
  <c r="R354" i="31"/>
  <c r="R355" i="31"/>
  <c r="S355" i="31"/>
  <c r="R356" i="31"/>
  <c r="R357" i="31"/>
  <c r="S357" i="31"/>
  <c r="R358" i="31"/>
  <c r="S358" i="31"/>
  <c r="R359" i="31"/>
  <c r="S359" i="31"/>
  <c r="R360" i="31"/>
  <c r="R361" i="31"/>
  <c r="S361" i="31"/>
  <c r="R362" i="31"/>
  <c r="R363" i="31"/>
  <c r="S363" i="31"/>
  <c r="R364" i="31"/>
  <c r="R365" i="31"/>
  <c r="S365" i="31"/>
  <c r="R366" i="31"/>
  <c r="S366" i="31"/>
  <c r="R367" i="31"/>
  <c r="S367" i="31"/>
  <c r="R368" i="31"/>
  <c r="R369" i="31"/>
  <c r="S369" i="31"/>
  <c r="R370" i="31"/>
  <c r="R371" i="31"/>
  <c r="S371" i="31"/>
  <c r="R372" i="31"/>
  <c r="R373" i="31"/>
  <c r="S373" i="31"/>
  <c r="R374" i="31"/>
  <c r="S374" i="31"/>
  <c r="R375" i="31"/>
  <c r="S375" i="31"/>
  <c r="R376" i="31"/>
  <c r="R377" i="31"/>
  <c r="S377" i="31"/>
  <c r="R378" i="31"/>
  <c r="R379" i="31"/>
  <c r="S379" i="31"/>
  <c r="R380" i="31"/>
  <c r="R381" i="31"/>
  <c r="S381" i="31"/>
  <c r="R382" i="31"/>
  <c r="S382" i="31"/>
  <c r="R383" i="31"/>
  <c r="S383" i="31"/>
  <c r="R384" i="31"/>
  <c r="R385" i="31"/>
  <c r="S385" i="31"/>
  <c r="R386" i="31"/>
  <c r="R387" i="31"/>
  <c r="S387" i="31"/>
  <c r="R388" i="31"/>
  <c r="R389" i="31"/>
  <c r="S389" i="31"/>
  <c r="R390" i="31"/>
  <c r="S390" i="31"/>
  <c r="R391" i="31"/>
  <c r="S391" i="31"/>
  <c r="R392" i="31"/>
  <c r="R393" i="31"/>
  <c r="S393" i="31"/>
  <c r="R394" i="31"/>
  <c r="R395" i="31"/>
  <c r="S395" i="31"/>
  <c r="R396" i="31"/>
  <c r="R397" i="31"/>
  <c r="S397" i="31"/>
  <c r="R398" i="31"/>
  <c r="S398" i="31"/>
  <c r="R399" i="31"/>
  <c r="S399" i="31"/>
  <c r="R400" i="31"/>
  <c r="R401" i="31"/>
  <c r="S401" i="31"/>
  <c r="R402" i="31"/>
  <c r="R403" i="31"/>
  <c r="S403" i="31"/>
  <c r="R404" i="31"/>
  <c r="R405" i="31"/>
  <c r="S405" i="31"/>
  <c r="R406" i="31"/>
  <c r="S406" i="31"/>
  <c r="R407" i="31"/>
  <c r="S407" i="31"/>
  <c r="R408" i="31"/>
  <c r="R409" i="31"/>
  <c r="S409" i="31"/>
  <c r="R410" i="31"/>
  <c r="R411" i="31"/>
  <c r="S411" i="31"/>
  <c r="R412" i="31"/>
  <c r="R413" i="31"/>
  <c r="S413" i="31"/>
  <c r="R414" i="31"/>
  <c r="S414" i="31"/>
  <c r="R415" i="31"/>
  <c r="S415" i="31"/>
  <c r="R416" i="31"/>
  <c r="R417" i="31"/>
  <c r="S417" i="31"/>
  <c r="R418" i="31"/>
  <c r="R419" i="31"/>
  <c r="S419" i="31"/>
  <c r="R420" i="31"/>
  <c r="R421" i="31"/>
  <c r="S421" i="31"/>
  <c r="R422" i="31"/>
  <c r="S422" i="31"/>
  <c r="R423" i="31"/>
  <c r="S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R447" i="31"/>
  <c r="R448" i="31"/>
  <c r="R449" i="31"/>
  <c r="R450" i="31"/>
  <c r="R451" i="31"/>
  <c r="R452" i="31"/>
  <c r="R453" i="31"/>
  <c r="R454" i="31"/>
  <c r="R455" i="31"/>
  <c r="R456" i="31"/>
  <c r="R457" i="31"/>
  <c r="R458" i="31"/>
  <c r="R459" i="31"/>
  <c r="R460" i="31"/>
  <c r="R461" i="31"/>
  <c r="R462" i="31"/>
  <c r="R463" i="31"/>
  <c r="R464" i="31"/>
  <c r="R465" i="31"/>
  <c r="R466" i="31"/>
  <c r="S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c r="R499" i="31"/>
  <c r="R500" i="31"/>
  <c r="R501" i="31"/>
  <c r="R502" i="31"/>
  <c r="S502" i="31"/>
  <c r="R503" i="31"/>
  <c r="R504" i="31"/>
  <c r="R505" i="31"/>
  <c r="R506" i="31"/>
  <c r="S506" i="31"/>
  <c r="R507" i="31"/>
  <c r="R508" i="31"/>
  <c r="R509" i="31"/>
  <c r="R510" i="31"/>
  <c r="R511" i="31"/>
  <c r="R512" i="31"/>
  <c r="R513" i="31"/>
  <c r="R514" i="31"/>
  <c r="R515" i="31"/>
  <c r="R516" i="31"/>
  <c r="R517" i="31"/>
  <c r="R518" i="31"/>
  <c r="R519" i="31"/>
  <c r="R520" i="31"/>
  <c r="R521" i="31"/>
  <c r="R522" i="31"/>
  <c r="R523" i="31"/>
  <c r="R524" i="31"/>
  <c r="C25" i="31"/>
  <c r="C26" i="31"/>
  <c r="R26" i="31"/>
  <c r="S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B61" i="72"/>
  <c r="A5" i="62"/>
  <c r="B72" i="72"/>
  <c r="A4" i="62"/>
  <c r="B70" i="72"/>
  <c r="F33" i="9"/>
  <c r="B37" i="48"/>
  <c r="B2" i="72"/>
  <c r="B13" i="53"/>
  <c r="B29" i="72"/>
  <c r="R35" i="4"/>
  <c r="Q35" i="4"/>
  <c r="P35" i="4"/>
  <c r="O35" i="4"/>
  <c r="N35" i="4"/>
  <c r="M35" i="4"/>
  <c r="L35" i="4"/>
  <c r="K34" i="4"/>
  <c r="T34" i="4"/>
  <c r="G13"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18" i="31"/>
  <c r="S316" i="31"/>
  <c r="S314" i="31"/>
  <c r="S310" i="31"/>
  <c r="S308" i="31"/>
  <c r="S306"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1" i="31"/>
  <c r="S120" i="31"/>
  <c r="S119" i="31"/>
  <c r="S118" i="31"/>
  <c r="S117" i="31"/>
  <c r="S116" i="31"/>
  <c r="S115" i="31"/>
  <c r="S114" i="31"/>
  <c r="S113" i="31"/>
  <c r="S112" i="31"/>
  <c r="S504" i="31"/>
  <c r="S500" i="31"/>
  <c r="S467" i="31"/>
  <c r="S465" i="31"/>
  <c r="S464" i="31"/>
  <c r="S463" i="31"/>
  <c r="S462" i="31"/>
  <c r="S461" i="31"/>
  <c r="S460" i="31"/>
  <c r="S459" i="31"/>
  <c r="S458" i="31"/>
  <c r="S457" i="31"/>
  <c r="S456" i="31"/>
  <c r="S455" i="31"/>
  <c r="S454" i="31"/>
  <c r="S453" i="31"/>
  <c r="S452" i="31"/>
  <c r="S451" i="31"/>
  <c r="S450" i="31"/>
  <c r="S97" i="31"/>
  <c r="S94"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G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K14" i="1"/>
  <c r="M14" i="1"/>
  <c r="O14" i="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AQ12" i="1"/>
  <c r="R12" i="1"/>
  <c r="B12" i="1"/>
  <c r="E12" i="1"/>
  <c r="S10" i="1"/>
  <c r="AQ10" i="1"/>
  <c r="R10" i="1"/>
  <c r="B10" i="1"/>
  <c r="E10" i="1"/>
  <c r="D1" i="66"/>
  <c r="E10" i="66"/>
  <c r="AZ80" i="3"/>
  <c r="AZ88" i="3"/>
  <c r="AZ107" i="3"/>
  <c r="AZ111" i="3"/>
  <c r="K12" i="1"/>
  <c r="M12" i="1"/>
  <c r="O12" i="1"/>
  <c r="S13" i="1"/>
  <c r="AR13" i="1"/>
  <c r="R13" i="1"/>
  <c r="S11" i="1"/>
  <c r="AQ11" i="1"/>
  <c r="R11" i="1"/>
  <c r="S9" i="1"/>
  <c r="AR9" i="1"/>
  <c r="R9" i="1"/>
  <c r="J51" i="67"/>
  <c r="C42" i="1"/>
  <c r="C77" i="9"/>
  <c r="C74" i="9"/>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29" i="33"/>
  <c r="AB29" i="33"/>
  <c r="W38" i="33"/>
  <c r="H41" i="33"/>
  <c r="U41" i="33"/>
  <c r="S42" i="33"/>
  <c r="J35" i="33"/>
  <c r="W35" i="33"/>
  <c r="S37" i="33"/>
  <c r="AA37" i="33"/>
  <c r="S39" i="33"/>
  <c r="S46" i="33"/>
  <c r="S43" i="33"/>
  <c r="J17" i="33"/>
  <c r="S15" i="33"/>
  <c r="W15" i="33"/>
  <c r="I66" i="33"/>
  <c r="J10" i="33"/>
  <c r="AC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1" i="6"/>
  <c r="E61" i="39"/>
  <c r="BL17" i="3"/>
  <c r="AZ17" i="3"/>
  <c r="BL13" i="3"/>
  <c r="G30" i="6"/>
  <c r="G31" i="6"/>
  <c r="J56" i="9"/>
  <c r="J57" i="9"/>
  <c r="A24" i="51"/>
  <c r="B18" i="72"/>
  <c r="U29" i="34"/>
  <c r="E5" i="6"/>
  <c r="D9" i="69"/>
  <c r="C9" i="69"/>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M10" i="43"/>
  <c r="N3" i="43"/>
  <c r="N11" i="43"/>
  <c r="F38" i="43"/>
  <c r="F37" i="43"/>
  <c r="M9" i="43"/>
  <c r="N12" i="43"/>
  <c r="N5" i="43"/>
  <c r="M5" i="43"/>
  <c r="M12" i="43"/>
  <c r="M4" i="43"/>
  <c r="B19" i="53"/>
  <c r="B37" i="72"/>
  <c r="C7" i="39"/>
  <c r="C68" i="39"/>
  <c r="C7" i="35"/>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c r="S8" i="1"/>
  <c r="AR8"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F52" i="9"/>
  <c r="AR11"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H17" i="33"/>
  <c r="F17" i="33"/>
  <c r="AA17" i="33"/>
  <c r="W17" i="33"/>
  <c r="AC17" i="33"/>
  <c r="U10" i="33"/>
  <c r="AB10" i="33"/>
  <c r="AC37" i="21"/>
  <c r="U33" i="21"/>
  <c r="S37" i="21"/>
  <c r="AA23" i="21"/>
  <c r="AB15" i="21"/>
  <c r="J23" i="21"/>
  <c r="F85" i="21"/>
  <c r="G85" i="21"/>
  <c r="H23" i="21"/>
  <c r="S13" i="21"/>
  <c r="D6" i="52"/>
  <c r="D121" i="9"/>
  <c r="D7" i="52"/>
  <c r="K120" i="9"/>
  <c r="J59" i="9"/>
  <c r="J61" i="9"/>
  <c r="AQ8" i="1"/>
  <c r="O19" i="43"/>
  <c r="E52" i="37"/>
  <c r="F52" i="37"/>
  <c r="E48" i="35"/>
  <c r="E59" i="34"/>
  <c r="F59" i="34"/>
  <c r="C65" i="40"/>
  <c r="D63" i="40"/>
  <c r="E63" i="40"/>
  <c r="B5" i="62"/>
  <c r="B73" i="72"/>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17" i="33"/>
  <c r="AB17" i="33"/>
  <c r="U23" i="21"/>
  <c r="AB23" i="21"/>
  <c r="AC23" i="21"/>
  <c r="W23" i="21"/>
  <c r="D65" i="40"/>
  <c r="F1" i="67"/>
  <c r="Q52" i="67"/>
  <c r="AC11" i="37"/>
  <c r="W11" i="37"/>
  <c r="W11" i="34"/>
  <c r="AC11" i="34"/>
  <c r="F34" i="11"/>
  <c r="F11" i="12"/>
  <c r="F34" i="68"/>
  <c r="C36" i="68"/>
  <c r="F63" i="40"/>
  <c r="E65" i="40"/>
  <c r="R8" i="1"/>
  <c r="G63" i="40"/>
  <c r="F65" i="40"/>
  <c r="H63" i="40"/>
  <c r="G65" i="40"/>
  <c r="I63" i="40"/>
  <c r="H65" i="40"/>
  <c r="J63" i="40"/>
  <c r="I65" i="40"/>
  <c r="K63" i="40"/>
  <c r="L63" i="40"/>
  <c r="J65" i="40"/>
  <c r="K65" i="40"/>
  <c r="AE7" i="1"/>
  <c r="AE8" i="1"/>
  <c r="AG6" i="1"/>
  <c r="H109" i="9"/>
  <c r="H110" i="9"/>
  <c r="D18" i="53"/>
  <c r="B35" i="72"/>
  <c r="D124" i="9"/>
  <c r="H14" i="74"/>
  <c r="B7" i="74"/>
  <c r="D16" i="53"/>
  <c r="B34" i="72"/>
  <c r="D10" i="52"/>
  <c r="D17" i="53"/>
  <c r="B36" i="72"/>
  <c r="D125" i="9"/>
  <c r="D11" i="52"/>
  <c r="J7" i="33"/>
  <c r="W7" i="33"/>
  <c r="F7" i="33"/>
  <c r="S7" i="33"/>
  <c r="H7" i="33"/>
  <c r="AB7" i="33"/>
  <c r="H112" i="9"/>
  <c r="D21" i="53"/>
  <c r="B39" i="72"/>
  <c r="H111" i="9"/>
  <c r="D126" i="9"/>
  <c r="I14" i="74"/>
  <c r="B8" i="74"/>
  <c r="D19" i="53"/>
  <c r="D59" i="9"/>
  <c r="M55" i="9"/>
  <c r="B38" i="72"/>
  <c r="D20" i="53"/>
  <c r="B40" i="72"/>
  <c r="AD3" i="71"/>
  <c r="B4" i="62"/>
  <c r="B71" i="72"/>
  <c r="D2" i="37"/>
  <c r="L47" i="15"/>
  <c r="M27" i="67"/>
  <c r="M27" i="15"/>
  <c r="M8" i="15"/>
  <c r="D3" i="73"/>
  <c r="F5" i="73"/>
  <c r="D6" i="73"/>
  <c r="M6" i="15"/>
  <c r="M29" i="67"/>
  <c r="E10" i="76"/>
  <c r="F8" i="67"/>
  <c r="AO11" i="1"/>
  <c r="M9" i="67"/>
  <c r="M8" i="67"/>
  <c r="M26" i="15"/>
  <c r="F6" i="67"/>
  <c r="AO8" i="1"/>
  <c r="F36" i="67"/>
  <c r="M23" i="15"/>
  <c r="F16" i="15"/>
  <c r="B10" i="76"/>
  <c r="M24" i="15"/>
  <c r="E7" i="76"/>
  <c r="M22" i="67"/>
  <c r="F42" i="15"/>
  <c r="B7" i="76"/>
  <c r="D5" i="73"/>
  <c r="AO9" i="1"/>
  <c r="E2" i="69"/>
  <c r="AO12" i="1"/>
  <c r="F43" i="67"/>
  <c r="F7" i="73"/>
  <c r="M24" i="67"/>
  <c r="D2" i="21"/>
  <c r="F42" i="67"/>
  <c r="D2" i="36"/>
  <c r="L48" i="67"/>
  <c r="E8" i="76"/>
  <c r="F6" i="15"/>
  <c r="M26" i="67"/>
  <c r="F40" i="67"/>
  <c r="D2" i="35"/>
  <c r="D4" i="73"/>
  <c r="F8" i="15"/>
  <c r="F7" i="15"/>
  <c r="F9" i="15"/>
  <c r="C6" i="15"/>
  <c r="F4" i="73"/>
  <c r="I1" i="73"/>
  <c r="B39" i="1"/>
  <c r="F11" i="15"/>
  <c r="C10" i="15"/>
  <c r="C5" i="15"/>
  <c r="C32" i="15"/>
  <c r="C33" i="15"/>
  <c r="R6" i="1"/>
  <c r="F35" i="15"/>
  <c r="C34" i="15"/>
  <c r="C31" i="15"/>
  <c r="C14" i="15"/>
  <c r="C15" i="15"/>
  <c r="C16" i="15"/>
  <c r="F43" i="15"/>
  <c r="C17" i="15"/>
  <c r="C18" i="15"/>
  <c r="C19" i="15"/>
  <c r="C20" i="15"/>
  <c r="G1" i="73"/>
  <c r="B40" i="1"/>
  <c r="F24" i="15"/>
  <c r="C23" i="15"/>
  <c r="F26" i="15"/>
  <c r="C26" i="15"/>
  <c r="C24" i="15"/>
  <c r="C27" i="15"/>
  <c r="C29" i="15"/>
  <c r="F36" i="15"/>
  <c r="C36" i="15"/>
  <c r="F13" i="15"/>
  <c r="C13" i="15"/>
  <c r="F37" i="15"/>
  <c r="C37" i="15"/>
  <c r="F38" i="15"/>
  <c r="C38" i="15"/>
  <c r="C30" i="15"/>
  <c r="C39" i="15"/>
  <c r="F40" i="15"/>
  <c r="L48" i="15"/>
  <c r="J53" i="15"/>
  <c r="F1" i="15"/>
  <c r="AE6" i="1"/>
  <c r="F41" i="15"/>
  <c r="C40" i="15"/>
  <c r="M7" i="15"/>
  <c r="M9" i="15"/>
  <c r="J6" i="15"/>
  <c r="M11" i="15"/>
  <c r="J10" i="15"/>
  <c r="J5" i="15"/>
  <c r="J26" i="15"/>
  <c r="J29" i="15"/>
  <c r="J57" i="15"/>
  <c r="J55" i="15"/>
  <c r="J58" i="15"/>
  <c r="J59" i="15"/>
  <c r="J60" i="15"/>
  <c r="L46" i="15"/>
  <c r="B2" i="15"/>
  <c r="B3" i="15"/>
  <c r="C76" i="15"/>
  <c r="C75" i="15"/>
  <c r="C80" i="15"/>
  <c r="D35" i="9"/>
  <c r="M22" i="15"/>
  <c r="F37" i="67"/>
  <c r="F38" i="67"/>
  <c r="C79" i="15"/>
  <c r="D34" i="9"/>
  <c r="B13" i="76"/>
  <c r="M6" i="67"/>
  <c r="B9" i="76"/>
  <c r="M28" i="67"/>
  <c r="F13" i="67"/>
  <c r="F16" i="67"/>
  <c r="F20" i="31"/>
  <c r="B8" i="76"/>
  <c r="B11" i="76"/>
  <c r="E13" i="76"/>
  <c r="J15" i="67"/>
  <c r="AO7" i="1"/>
  <c r="M23" i="67"/>
  <c r="E12" i="76"/>
  <c r="F9" i="67"/>
  <c r="F26" i="67"/>
  <c r="F7" i="67"/>
  <c r="E9" i="76"/>
  <c r="AO10" i="1"/>
  <c r="F3" i="73"/>
  <c r="M28" i="15"/>
  <c r="F6" i="73"/>
  <c r="E2" i="68"/>
  <c r="D7" i="73"/>
  <c r="J15" i="15"/>
  <c r="E11" i="76"/>
  <c r="D2" i="34"/>
  <c r="L47" i="67"/>
  <c r="C76" i="67"/>
  <c r="F41" i="67"/>
  <c r="D2" i="33"/>
  <c r="AO13" i="1"/>
  <c r="B12" i="76"/>
  <c r="K6" i="1"/>
  <c r="M6" i="1"/>
  <c r="O6" i="1"/>
  <c r="P6" i="1"/>
  <c r="E20" i="6"/>
  <c r="T9" i="1"/>
  <c r="AQ9" i="1"/>
  <c r="T11" i="1"/>
  <c r="AR10" i="1"/>
  <c r="C36" i="69"/>
  <c r="L27" i="6"/>
  <c r="U43" i="33"/>
  <c r="U32" i="33"/>
  <c r="U33" i="33"/>
  <c r="W43" i="33"/>
  <c r="W42" i="33"/>
  <c r="H111" i="33"/>
  <c r="I111" i="33"/>
  <c r="J111" i="33"/>
  <c r="K111" i="33"/>
  <c r="L111" i="33"/>
  <c r="M111" i="33"/>
  <c r="J36" i="33"/>
  <c r="F36" i="33"/>
  <c r="H36" i="33"/>
  <c r="J32" i="33"/>
  <c r="AC32" i="33"/>
  <c r="G101" i="33"/>
  <c r="H101" i="33"/>
  <c r="I101" i="33"/>
  <c r="J101" i="33"/>
  <c r="K101" i="33"/>
  <c r="L101" i="33"/>
  <c r="M101" i="33"/>
  <c r="F27" i="33"/>
  <c r="AA27" i="33"/>
  <c r="H27" i="33"/>
  <c r="AB27" i="33"/>
  <c r="J27" i="33"/>
  <c r="AC27" i="33"/>
  <c r="F91" i="33"/>
  <c r="G91" i="33"/>
  <c r="H91" i="33"/>
  <c r="I91" i="33"/>
  <c r="J91" i="33"/>
  <c r="K91" i="33"/>
  <c r="L91" i="33"/>
  <c r="M91" i="33"/>
  <c r="F87" i="33"/>
  <c r="H25" i="33"/>
  <c r="AB25" i="33"/>
  <c r="G87" i="33"/>
  <c r="H87" i="33"/>
  <c r="I87" i="33"/>
  <c r="J87" i="33"/>
  <c r="K87" i="33"/>
  <c r="L87" i="33"/>
  <c r="M87" i="33"/>
  <c r="F25" i="33"/>
  <c r="S25" i="33"/>
  <c r="J25" i="33"/>
  <c r="AC25" i="33"/>
  <c r="F85" i="33"/>
  <c r="G85" i="33"/>
  <c r="F23" i="33"/>
  <c r="AA23" i="33"/>
  <c r="J23" i="33"/>
  <c r="W23" i="33"/>
  <c r="H23" i="33"/>
  <c r="U23" i="33"/>
  <c r="F19" i="33"/>
  <c r="S19" i="33"/>
  <c r="H19" i="33"/>
  <c r="AB19" i="33"/>
  <c r="J19" i="33"/>
  <c r="F81" i="33"/>
  <c r="G81" i="33"/>
  <c r="AB34" i="33"/>
  <c r="AA34" i="33"/>
  <c r="W27" i="33"/>
  <c r="S27" i="33"/>
  <c r="AB26" i="33"/>
  <c r="W25" i="33"/>
  <c r="U42" i="33"/>
  <c r="W41" i="33"/>
  <c r="S41" i="33"/>
  <c r="W39" i="33"/>
  <c r="S38" i="33"/>
  <c r="AC35" i="33"/>
  <c r="AA35" i="33"/>
  <c r="U35" i="33"/>
  <c r="W32" i="33"/>
  <c r="S32" i="33"/>
  <c r="U27" i="33"/>
  <c r="S26" i="33"/>
  <c r="U11" i="33"/>
  <c r="AC23" i="33"/>
  <c r="S23" i="33"/>
  <c r="AB21" i="33"/>
  <c r="S21" i="33"/>
  <c r="U19" i="33"/>
  <c r="S17" i="33"/>
  <c r="W10" i="33"/>
  <c r="U9" i="33"/>
  <c r="S9" i="33"/>
  <c r="U8" i="33"/>
  <c r="S8" i="33"/>
  <c r="AA7" i="33"/>
  <c r="P61" i="15"/>
  <c r="Q52" i="15"/>
  <c r="D22" i="67"/>
  <c r="AZ19" i="3"/>
  <c r="AZ21" i="3"/>
  <c r="AZ24" i="3"/>
  <c r="AZ28" i="3"/>
  <c r="AZ53" i="3"/>
  <c r="AZ61" i="3"/>
  <c r="AZ67" i="3"/>
  <c r="AZ71" i="3"/>
  <c r="AZ20" i="3"/>
  <c r="AZ29" i="3"/>
  <c r="AZ35" i="3"/>
  <c r="AZ39" i="3"/>
  <c r="AZ45" i="3"/>
  <c r="AZ66" i="3"/>
  <c r="AZ72" i="3"/>
  <c r="C94" i="9"/>
  <c r="C92" i="9"/>
  <c r="F54" i="9"/>
  <c r="F28" i="15"/>
  <c r="C28" i="15"/>
  <c r="M18" i="67"/>
  <c r="C13" i="12"/>
  <c r="D68" i="9"/>
  <c r="C24" i="12"/>
  <c r="M18" i="15"/>
  <c r="F32" i="15"/>
  <c r="F60" i="15"/>
  <c r="F30" i="69"/>
  <c r="F32" i="67"/>
  <c r="F60" i="67"/>
  <c r="F31" i="12"/>
  <c r="C31" i="12"/>
  <c r="F28" i="67"/>
  <c r="C28" i="67"/>
  <c r="F30" i="11"/>
  <c r="F30" i="68"/>
  <c r="C40" i="69"/>
  <c r="BL15" i="3"/>
  <c r="BL5" i="3"/>
  <c r="AZ18" i="3"/>
  <c r="AZ23" i="3"/>
  <c r="AZ27" i="3"/>
  <c r="AZ34" i="3"/>
  <c r="AZ38" i="3"/>
  <c r="AZ44" i="3"/>
  <c r="AZ48" i="3"/>
  <c r="AZ52" i="3"/>
  <c r="AZ56" i="3"/>
  <c r="AZ70" i="3"/>
  <c r="BA74" i="3"/>
  <c r="AZ74" i="3"/>
  <c r="BA75" i="3"/>
  <c r="AZ75" i="3"/>
  <c r="AZ77" i="3"/>
  <c r="G5" i="3"/>
  <c r="B3" i="3"/>
  <c r="E69" i="3"/>
  <c r="F27" i="6"/>
  <c r="F31" i="6"/>
  <c r="E56" i="39"/>
  <c r="E12" i="6"/>
  <c r="E13" i="6"/>
  <c r="E10" i="6"/>
  <c r="E14" i="6"/>
  <c r="E64" i="39"/>
  <c r="E51" i="40"/>
  <c r="D9" i="11"/>
  <c r="C9" i="11"/>
  <c r="D19" i="12"/>
  <c r="C19" i="12"/>
  <c r="D9" i="68"/>
  <c r="C9" i="68"/>
  <c r="P10" i="1"/>
  <c r="E15" i="6"/>
  <c r="E30" i="6"/>
  <c r="K15" i="1"/>
  <c r="T8" i="1"/>
  <c r="E59" i="40"/>
  <c r="E56" i="40"/>
  <c r="B113" i="43"/>
  <c r="G101" i="43"/>
  <c r="J101" i="43"/>
  <c r="H22" i="43"/>
  <c r="D101" i="43"/>
  <c r="I101" i="43"/>
  <c r="G22" i="43"/>
  <c r="AJ11" i="43"/>
  <c r="AJ13" i="43"/>
  <c r="AF11" i="43"/>
  <c r="AF13" i="43"/>
  <c r="AB11" i="43"/>
  <c r="AB13" i="43"/>
  <c r="Z7" i="43"/>
  <c r="AI11" i="43"/>
  <c r="AI13" i="43"/>
  <c r="AE11" i="43"/>
  <c r="AE13" i="43"/>
  <c r="AA11" i="43"/>
  <c r="AA13" i="43"/>
  <c r="C23" i="43"/>
  <c r="C21" i="43"/>
  <c r="S4" i="43"/>
  <c r="S7" i="43"/>
  <c r="J22" i="43"/>
  <c r="F22" i="43"/>
  <c r="K101" i="43"/>
  <c r="F101" i="43"/>
  <c r="N101" i="43"/>
  <c r="E22" i="43"/>
  <c r="D22" i="43"/>
  <c r="C101" i="43"/>
  <c r="N104" i="46"/>
  <c r="L101" i="43"/>
  <c r="H101" i="43"/>
  <c r="M101" i="43"/>
  <c r="E101" i="43"/>
  <c r="S2" i="43"/>
  <c r="AH11" i="43"/>
  <c r="AH13" i="43"/>
  <c r="AD11" i="43"/>
  <c r="AD13" i="43"/>
  <c r="Z11" i="43"/>
  <c r="Z13" i="43"/>
  <c r="S5" i="43"/>
  <c r="AG11" i="43"/>
  <c r="AG13" i="43"/>
  <c r="AC11" i="43"/>
  <c r="AC13" i="43"/>
  <c r="Y11" i="43"/>
  <c r="Y13" i="43"/>
  <c r="S6" i="43"/>
  <c r="S3" i="43"/>
  <c r="P14" i="1"/>
  <c r="P7" i="1"/>
  <c r="C36" i="11"/>
  <c r="P11" i="1"/>
  <c r="E237" i="3"/>
  <c r="E261" i="3"/>
  <c r="E304" i="3"/>
  <c r="E528" i="3"/>
  <c r="E565" i="3"/>
  <c r="E183" i="3"/>
  <c r="E213" i="3"/>
  <c r="E361" i="3"/>
  <c r="E17" i="3"/>
  <c r="E503" i="3"/>
  <c r="E302" i="3"/>
  <c r="E347" i="3"/>
  <c r="E583" i="3"/>
  <c r="AA6" i="3"/>
  <c r="X6" i="3"/>
  <c r="E399" i="3"/>
  <c r="E336" i="3"/>
  <c r="E280" i="3"/>
  <c r="E246" i="3"/>
  <c r="E124" i="3"/>
  <c r="E293" i="3"/>
  <c r="E270" i="3"/>
  <c r="P12" i="1"/>
  <c r="O9" i="1"/>
  <c r="P9" i="1"/>
  <c r="O8" i="1"/>
  <c r="G11" i="1"/>
  <c r="D12" i="52"/>
  <c r="D127" i="9"/>
  <c r="D13" i="52"/>
  <c r="U7" i="33"/>
  <c r="M63" i="40"/>
  <c r="L65" i="40"/>
  <c r="AC7" i="33"/>
  <c r="F48" i="35"/>
  <c r="C70" i="39"/>
  <c r="D68" i="39"/>
  <c r="G59" i="34"/>
  <c r="G52" i="37"/>
  <c r="E46" i="36"/>
  <c r="D58" i="21"/>
  <c r="C20" i="43"/>
  <c r="F7" i="71"/>
  <c r="F6" i="71"/>
  <c r="F5" i="71"/>
  <c r="Y6" i="71"/>
  <c r="Z6" i="71"/>
  <c r="B7" i="49"/>
  <c r="E7" i="49"/>
  <c r="B15" i="49"/>
  <c r="AB3" i="71"/>
  <c r="X3" i="71"/>
  <c r="E5" i="71"/>
  <c r="E10" i="49"/>
  <c r="B6" i="49"/>
  <c r="E14" i="49"/>
  <c r="AF3" i="71"/>
  <c r="P24" i="43"/>
  <c r="B66" i="40"/>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Q50" i="15"/>
  <c r="I54" i="15"/>
  <c r="L56" i="15"/>
  <c r="F71" i="67"/>
  <c r="F66" i="15"/>
  <c r="B10" i="70"/>
  <c r="F68" i="67"/>
  <c r="F66" i="67"/>
  <c r="L59" i="67"/>
  <c r="M59" i="67"/>
  <c r="N59" i="67"/>
  <c r="L58" i="67"/>
  <c r="F68" i="15"/>
  <c r="N59" i="15"/>
  <c r="L59" i="15"/>
  <c r="M59" i="15"/>
  <c r="L58" i="15"/>
  <c r="F65" i="15"/>
  <c r="Q71" i="67"/>
  <c r="B13" i="70"/>
  <c r="E20" i="43"/>
  <c r="B8" i="70"/>
  <c r="B7" i="70"/>
  <c r="F69" i="67"/>
  <c r="F65" i="67"/>
  <c r="Q71" i="15"/>
  <c r="M7" i="67"/>
  <c r="J6" i="67"/>
  <c r="F50" i="67"/>
  <c r="F51" i="67"/>
  <c r="C6" i="67"/>
  <c r="B11" i="70"/>
  <c r="F51" i="15"/>
  <c r="F64" i="15"/>
  <c r="I54" i="67"/>
  <c r="J57" i="67"/>
  <c r="J55" i="67"/>
  <c r="J58" i="67"/>
  <c r="Q50" i="67"/>
  <c r="L56" i="67"/>
  <c r="C27" i="67"/>
  <c r="B12" i="70"/>
  <c r="B9" i="70"/>
  <c r="K1" i="73"/>
  <c r="M17" i="15"/>
  <c r="F59" i="15"/>
  <c r="F31" i="67"/>
  <c r="M17" i="67"/>
  <c r="F31" i="15"/>
  <c r="F59" i="67"/>
  <c r="M29" i="15"/>
  <c r="C16" i="67"/>
  <c r="F71" i="15"/>
  <c r="F50" i="15"/>
  <c r="K7" i="1"/>
  <c r="K16" i="1"/>
  <c r="E311" i="3"/>
  <c r="E128" i="3"/>
  <c r="E165" i="3"/>
  <c r="E205" i="3"/>
  <c r="E227" i="3"/>
  <c r="E352" i="3"/>
  <c r="E461" i="3"/>
  <c r="E510" i="3"/>
  <c r="E567" i="3"/>
  <c r="E545" i="3"/>
  <c r="E539" i="3"/>
  <c r="E329" i="3"/>
  <c r="E535" i="3"/>
  <c r="E550" i="3"/>
  <c r="E445" i="3"/>
  <c r="E260" i="3"/>
  <c r="E172" i="3"/>
  <c r="E395" i="3"/>
  <c r="E563" i="3"/>
  <c r="E415" i="3"/>
  <c r="E278" i="3"/>
  <c r="E114" i="3"/>
  <c r="Q16" i="1"/>
  <c r="F27" i="68"/>
  <c r="C29" i="68"/>
  <c r="D27" i="68"/>
  <c r="B15" i="74"/>
  <c r="AB36" i="33"/>
  <c r="U36" i="33"/>
  <c r="AC36" i="33"/>
  <c r="W36" i="33"/>
  <c r="S36" i="33"/>
  <c r="AA36" i="33"/>
  <c r="U25" i="33"/>
  <c r="AA25" i="33"/>
  <c r="AB23" i="33"/>
  <c r="T48" i="33"/>
  <c r="G48" i="33"/>
  <c r="G52" i="33"/>
  <c r="H52" i="33"/>
  <c r="AC19" i="33"/>
  <c r="V48" i="33"/>
  <c r="I48" i="33"/>
  <c r="I52" i="33"/>
  <c r="J52" i="33"/>
  <c r="AA19" i="33"/>
  <c r="R48" i="33"/>
  <c r="W19" i="33"/>
  <c r="E16" i="6"/>
  <c r="BA5" i="3"/>
  <c r="E27" i="6"/>
  <c r="E31" i="6"/>
  <c r="C30" i="11"/>
  <c r="C48" i="11"/>
  <c r="C48" i="69"/>
  <c r="C30" i="69"/>
  <c r="C30" i="68"/>
  <c r="C48" i="68"/>
  <c r="F27" i="69"/>
  <c r="F27" i="11"/>
  <c r="C47" i="11"/>
  <c r="D45" i="11"/>
  <c r="C47" i="68"/>
  <c r="D45" i="68"/>
  <c r="F28" i="12"/>
  <c r="C29" i="12"/>
  <c r="D28" i="12"/>
  <c r="AZ15" i="3"/>
  <c r="AZ5" i="3"/>
  <c r="E53" i="3"/>
  <c r="E175" i="3"/>
  <c r="E319" i="3"/>
  <c r="E530" i="3"/>
  <c r="E501" i="3"/>
  <c r="E343" i="3"/>
  <c r="E153" i="3"/>
  <c r="E305" i="3"/>
  <c r="E426" i="3"/>
  <c r="E508" i="3"/>
  <c r="E328" i="3"/>
  <c r="E388" i="3"/>
  <c r="O6" i="3"/>
  <c r="E555" i="3"/>
  <c r="E574" i="3"/>
  <c r="E410" i="3"/>
  <c r="E359" i="3"/>
  <c r="E337" i="3"/>
  <c r="E285" i="3"/>
  <c r="E143" i="3"/>
  <c r="E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25" i="3"/>
  <c r="E217" i="3"/>
  <c r="E366" i="3"/>
  <c r="E526" i="3"/>
  <c r="E553" i="3"/>
  <c r="E268" i="3"/>
  <c r="E282" i="3"/>
  <c r="E322" i="3"/>
  <c r="N6" i="3"/>
  <c r="AJ6" i="3"/>
  <c r="E239" i="3"/>
  <c r="E509" i="3"/>
  <c r="E516" i="3"/>
  <c r="E579" i="3"/>
  <c r="E569" i="3"/>
  <c r="E431" i="3"/>
  <c r="E396" i="3"/>
  <c r="E247" i="3"/>
  <c r="E229" i="3"/>
  <c r="E201" i="3"/>
  <c r="E151" i="3"/>
  <c r="E397"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252" i="3"/>
  <c r="E212" i="3"/>
  <c r="E271" i="3"/>
  <c r="E253" i="3"/>
  <c r="E204" i="3"/>
  <c r="E167" i="3"/>
  <c r="E145" i="3"/>
  <c r="E199" i="3"/>
  <c r="E164" i="3"/>
  <c r="E141" i="3"/>
  <c r="E107" i="3"/>
  <c r="E140" i="3"/>
  <c r="E85" i="3"/>
  <c r="E223" i="3"/>
  <c r="E238" i="3"/>
  <c r="E197" i="3"/>
  <c r="E116" i="3"/>
  <c r="E17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120" i="3"/>
  <c r="E45" i="3"/>
  <c r="E277" i="3"/>
  <c r="E224" i="3"/>
  <c r="E177" i="3"/>
  <c r="E193" i="3"/>
  <c r="E133"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87" i="3"/>
  <c r="W6" i="3"/>
  <c r="AE6" i="3"/>
  <c r="E571" i="3"/>
  <c r="E577" i="3"/>
  <c r="E537" i="3"/>
  <c r="E429" i="3"/>
  <c r="E450" i="3"/>
  <c r="E468" i="3"/>
  <c r="E471" i="3"/>
  <c r="E496" i="3"/>
  <c r="E433" i="3"/>
  <c r="E454" i="3"/>
  <c r="E475" i="3"/>
  <c r="E55"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6" i="3"/>
  <c r="AH6" i="3"/>
  <c r="E497" i="3"/>
  <c r="J6" i="3"/>
  <c r="E13" i="3"/>
  <c r="E498" i="3"/>
  <c r="E494" i="3"/>
  <c r="E419" i="3"/>
  <c r="E452" i="3"/>
  <c r="E483" i="3"/>
  <c r="E470" i="3"/>
  <c r="E401" i="3"/>
  <c r="E420" i="3"/>
  <c r="E463" i="3"/>
  <c r="E26"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60" i="40"/>
  <c r="E65" i="39"/>
  <c r="E57" i="40"/>
  <c r="E62" i="39"/>
  <c r="E58" i="40"/>
  <c r="E63" i="39"/>
  <c r="C29" i="11"/>
  <c r="D27" i="11"/>
  <c r="F104" i="43"/>
  <c r="F102" i="43"/>
  <c r="F103" i="43"/>
  <c r="F107" i="43"/>
  <c r="F106" i="43"/>
  <c r="F105" i="43"/>
  <c r="F109" i="43"/>
  <c r="D109" i="43"/>
  <c r="D105" i="43"/>
  <c r="D106" i="43"/>
  <c r="D102" i="43"/>
  <c r="D103" i="43"/>
  <c r="D104" i="43"/>
  <c r="D107" i="43"/>
  <c r="J104" i="43"/>
  <c r="J107" i="43"/>
  <c r="J102" i="43"/>
  <c r="J106" i="43"/>
  <c r="J105" i="43"/>
  <c r="J103" i="43"/>
  <c r="J109" i="43"/>
  <c r="B115" i="43"/>
  <c r="D117" i="43"/>
  <c r="E117" i="43"/>
  <c r="F117" i="43"/>
  <c r="G117" i="43"/>
  <c r="H117"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6" i="43"/>
  <c r="C116" i="43"/>
  <c r="B118" i="43"/>
  <c r="C118" i="43"/>
  <c r="I117" i="43"/>
  <c r="J117" i="43"/>
  <c r="K117" i="43"/>
  <c r="L117" i="43"/>
  <c r="M117" i="43"/>
  <c r="E102" i="43"/>
  <c r="E106" i="43"/>
  <c r="E103" i="43"/>
  <c r="E104" i="43"/>
  <c r="E107" i="43"/>
  <c r="E105" i="43"/>
  <c r="E109" i="43"/>
  <c r="H102" i="43"/>
  <c r="H103" i="43"/>
  <c r="H104" i="43"/>
  <c r="H109" i="43"/>
  <c r="H107" i="43"/>
  <c r="H106" i="43"/>
  <c r="H105" i="43"/>
  <c r="M109" i="43"/>
  <c r="M102" i="43"/>
  <c r="M106" i="43"/>
  <c r="M103" i="43"/>
  <c r="M104" i="43"/>
  <c r="M107" i="43"/>
  <c r="M105" i="43"/>
  <c r="L109" i="43"/>
  <c r="L106" i="43"/>
  <c r="L107" i="43"/>
  <c r="L103" i="43"/>
  <c r="L102" i="43"/>
  <c r="L105" i="43"/>
  <c r="L104" i="43"/>
  <c r="C104" i="43"/>
  <c r="C106" i="43"/>
  <c r="C107" i="43"/>
  <c r="C103" i="43"/>
  <c r="C102" i="43"/>
  <c r="C109" i="43"/>
  <c r="C105" i="43"/>
  <c r="N102" i="43"/>
  <c r="N105" i="43"/>
  <c r="N107" i="43"/>
  <c r="N103" i="43"/>
  <c r="N106" i="43"/>
  <c r="N104" i="43"/>
  <c r="N109" i="43"/>
  <c r="K103" i="43"/>
  <c r="K102" i="43"/>
  <c r="K106" i="43"/>
  <c r="K107" i="43"/>
  <c r="K104" i="43"/>
  <c r="K105" i="43"/>
  <c r="K109" i="43"/>
  <c r="I109" i="43"/>
  <c r="I104" i="43"/>
  <c r="I107" i="43"/>
  <c r="I105" i="43"/>
  <c r="I102" i="43"/>
  <c r="I106" i="43"/>
  <c r="I103" i="43"/>
  <c r="G105" i="43"/>
  <c r="G102" i="43"/>
  <c r="G107" i="43"/>
  <c r="G104" i="43"/>
  <c r="G109" i="43"/>
  <c r="G103" i="43"/>
  <c r="G106" i="43"/>
  <c r="P8" i="1"/>
  <c r="P16" i="1"/>
  <c r="C11" i="12"/>
  <c r="F46" i="36"/>
  <c r="H59" i="34"/>
  <c r="G48" i="35"/>
  <c r="N63" i="40"/>
  <c r="M65" i="40"/>
  <c r="E58" i="21"/>
  <c r="F58" i="21"/>
  <c r="G58" i="21"/>
  <c r="H58" i="21"/>
  <c r="I58" i="21"/>
  <c r="J58" i="21"/>
  <c r="K58" i="21"/>
  <c r="L58" i="21"/>
  <c r="M58" i="21"/>
  <c r="N58" i="21"/>
  <c r="O58" i="21"/>
  <c r="H7" i="21"/>
  <c r="J7" i="21"/>
  <c r="H52" i="37"/>
  <c r="D70" i="39"/>
  <c r="E68" i="39"/>
  <c r="P23" i="43"/>
  <c r="B71" i="39"/>
  <c r="C5" i="71"/>
  <c r="D5" i="71"/>
  <c r="P25" i="43"/>
  <c r="C49" i="67"/>
  <c r="C49" i="15"/>
  <c r="F11" i="67"/>
  <c r="M11" i="67"/>
  <c r="J10" i="67"/>
  <c r="J5" i="67"/>
  <c r="Q73" i="67"/>
  <c r="Q60" i="67"/>
  <c r="P28" i="43"/>
  <c r="M28" i="43"/>
  <c r="N28" i="43"/>
  <c r="O28" i="43"/>
  <c r="Q60" i="15"/>
  <c r="Q73" i="15"/>
  <c r="Q74" i="15"/>
  <c r="Q61" i="15"/>
  <c r="Q61" i="67"/>
  <c r="Q74" i="67"/>
  <c r="C34" i="69"/>
  <c r="M7" i="1"/>
  <c r="H16" i="1"/>
  <c r="G16" i="1"/>
  <c r="G53" i="33"/>
  <c r="H53" i="33"/>
  <c r="R49" i="33"/>
  <c r="E48" i="33"/>
  <c r="AY6" i="3"/>
  <c r="AY253" i="3"/>
  <c r="E3" i="6"/>
  <c r="H6" i="3"/>
  <c r="C47" i="69"/>
  <c r="D45" i="69"/>
  <c r="C29" i="69"/>
  <c r="D27" i="69"/>
  <c r="K22" i="6"/>
  <c r="M22" i="6"/>
  <c r="I22" i="6"/>
  <c r="S22" i="6"/>
  <c r="K20" i="6"/>
  <c r="K23" i="6"/>
  <c r="M23" i="6"/>
  <c r="I23" i="6"/>
  <c r="S23" i="6"/>
  <c r="K21" i="6"/>
  <c r="M21" i="6"/>
  <c r="I21" i="6"/>
  <c r="S21" i="6"/>
  <c r="K24" i="6"/>
  <c r="M24" i="6"/>
  <c r="I24" i="6"/>
  <c r="S24" i="6"/>
  <c r="K19" i="6"/>
  <c r="S6" i="1"/>
  <c r="E6" i="70"/>
  <c r="E2" i="70"/>
  <c r="K26" i="6"/>
  <c r="M26" i="6"/>
  <c r="I26" i="6"/>
  <c r="S26" i="6"/>
  <c r="K25" i="6"/>
  <c r="M25" i="6"/>
  <c r="I25" i="6"/>
  <c r="S25" i="6"/>
  <c r="AY539" i="3"/>
  <c r="AY305" i="3"/>
  <c r="AY405" i="3"/>
  <c r="AY459" i="3"/>
  <c r="AY330" i="3"/>
  <c r="AY375" i="3"/>
  <c r="AY363" i="3"/>
  <c r="AY350" i="3"/>
  <c r="D19" i="11"/>
  <c r="C19" i="11"/>
  <c r="D3" i="21"/>
  <c r="D3" i="37"/>
  <c r="D3" i="34"/>
  <c r="D14" i="12"/>
  <c r="C17" i="4"/>
  <c r="B4" i="52"/>
  <c r="B43" i="72"/>
  <c r="D3" i="33"/>
  <c r="M18" i="9"/>
  <c r="B118" i="9"/>
  <c r="B14" i="74"/>
  <c r="D37" i="11"/>
  <c r="C37" i="11"/>
  <c r="E6" i="6"/>
  <c r="AC6" i="3"/>
  <c r="E6" i="3"/>
  <c r="E66" i="39"/>
  <c r="C115" i="43"/>
  <c r="D113" i="43"/>
  <c r="C15" i="12"/>
  <c r="C12" i="12"/>
  <c r="F68" i="39"/>
  <c r="E70" i="39"/>
  <c r="I52" i="37"/>
  <c r="AC7" i="21"/>
  <c r="V48" i="21"/>
  <c r="I48" i="21"/>
  <c r="W7" i="21"/>
  <c r="H48" i="35"/>
  <c r="F7" i="21"/>
  <c r="AB7" i="21"/>
  <c r="T48" i="21"/>
  <c r="G48" i="21"/>
  <c r="U7" i="21"/>
  <c r="O63" i="40"/>
  <c r="O65" i="40"/>
  <c r="N65" i="40"/>
  <c r="I59" i="34"/>
  <c r="G46" i="36"/>
  <c r="H46" i="36"/>
  <c r="I46" i="36"/>
  <c r="J46" i="36"/>
  <c r="K46" i="36"/>
  <c r="L46" i="36"/>
  <c r="M46" i="36"/>
  <c r="N46" i="36"/>
  <c r="O46" i="36"/>
  <c r="J7" i="36"/>
  <c r="M20" i="43"/>
  <c r="C19" i="43"/>
  <c r="J24" i="67"/>
  <c r="J26" i="67"/>
  <c r="J29" i="67"/>
  <c r="J18" i="67"/>
  <c r="C53" i="67"/>
  <c r="C48" i="67"/>
  <c r="C10" i="67"/>
  <c r="C5" i="67"/>
  <c r="J24" i="15"/>
  <c r="J18" i="15"/>
  <c r="C53" i="15"/>
  <c r="C48" i="15"/>
  <c r="F24" i="67"/>
  <c r="C24" i="67"/>
  <c r="F22" i="68"/>
  <c r="F22" i="11"/>
  <c r="F22" i="69"/>
  <c r="F25" i="12"/>
  <c r="C17" i="67"/>
  <c r="C14" i="67"/>
  <c r="AY557" i="3"/>
  <c r="AY567" i="3"/>
  <c r="AY39" i="3"/>
  <c r="AY19" i="3"/>
  <c r="AY159" i="3"/>
  <c r="AY156" i="3"/>
  <c r="AY215" i="3"/>
  <c r="AY251" i="3"/>
  <c r="F10" i="39"/>
  <c r="J10" i="39"/>
  <c r="J10" i="40"/>
  <c r="F10" i="40"/>
  <c r="H10" i="39"/>
  <c r="H10" i="40"/>
  <c r="O7" i="1"/>
  <c r="O16" i="1"/>
  <c r="M16" i="1"/>
  <c r="N16" i="1"/>
  <c r="C38" i="69"/>
  <c r="C35" i="69"/>
  <c r="AY244" i="3"/>
  <c r="AY31" i="3"/>
  <c r="AY229" i="3"/>
  <c r="AY74" i="3"/>
  <c r="AY432" i="3"/>
  <c r="AY136" i="3"/>
  <c r="AY13" i="3"/>
  <c r="AY233" i="3"/>
  <c r="AY504" i="3"/>
  <c r="AY213" i="3"/>
  <c r="AY86" i="3"/>
  <c r="AY331" i="3"/>
  <c r="AY505" i="3"/>
  <c r="AY552" i="3"/>
  <c r="AY270" i="3"/>
  <c r="AY565" i="3"/>
  <c r="AY290" i="3"/>
  <c r="AY481" i="3"/>
  <c r="AY425" i="3"/>
  <c r="AY147" i="3"/>
  <c r="AY191" i="3"/>
  <c r="AY326" i="3"/>
  <c r="AY412" i="3"/>
  <c r="AY204" i="3"/>
  <c r="AY196" i="3"/>
  <c r="AY15" i="3"/>
  <c r="AY322" i="3"/>
  <c r="AY272" i="3"/>
  <c r="AY195" i="3"/>
  <c r="AY576" i="3"/>
  <c r="AY440" i="3"/>
  <c r="AY383" i="3"/>
  <c r="AY120" i="3"/>
  <c r="BP6" i="3"/>
  <c r="AY550" i="3"/>
  <c r="AY323" i="3"/>
  <c r="AY273" i="3"/>
  <c r="AY27" i="3"/>
  <c r="AY512" i="3"/>
  <c r="AY466" i="3"/>
  <c r="AY232" i="3"/>
  <c r="AY551" i="3"/>
  <c r="AY445" i="3"/>
  <c r="AY174" i="3"/>
  <c r="AY438" i="3"/>
  <c r="AY88" i="3"/>
  <c r="AY193" i="3"/>
  <c r="AY371" i="3"/>
  <c r="AY468" i="3"/>
  <c r="BF6" i="3"/>
  <c r="AY108" i="3"/>
  <c r="AY404" i="3"/>
  <c r="AY355" i="3"/>
  <c r="AY199" i="3"/>
  <c r="AY486" i="3"/>
  <c r="AY220" i="3"/>
  <c r="AY292" i="3"/>
  <c r="AY132" i="3"/>
  <c r="AY82" i="3"/>
  <c r="AY436" i="3"/>
  <c r="AY379" i="3"/>
  <c r="AY43" i="3"/>
  <c r="AY489" i="3"/>
  <c r="AY252" i="3"/>
  <c r="AY123" i="3"/>
  <c r="AY139" i="3"/>
  <c r="AY67" i="3"/>
  <c r="AY583" i="3"/>
  <c r="AY413" i="3"/>
  <c r="AY474" i="3"/>
  <c r="AY339" i="3"/>
  <c r="AY208" i="3"/>
  <c r="AY288" i="3"/>
  <c r="AY175" i="3"/>
  <c r="AY22" i="3"/>
  <c r="AY102" i="3"/>
  <c r="AY528" i="3"/>
  <c r="AY421" i="3"/>
  <c r="AY482" i="3"/>
  <c r="AY347" i="3"/>
  <c r="AY216" i="3"/>
  <c r="AY296" i="3"/>
  <c r="AY140" i="3"/>
  <c r="AY79" i="3"/>
  <c r="AY498" i="3"/>
  <c r="BC6" i="3"/>
  <c r="AY416" i="3"/>
  <c r="AY306" i="3"/>
  <c r="AY367" i="3"/>
  <c r="AY256" i="3"/>
  <c r="AY119" i="3"/>
  <c r="AY179" i="3"/>
  <c r="AY70" i="3"/>
  <c r="AY587" i="3"/>
  <c r="AY517" i="3"/>
  <c r="AY424" i="3"/>
  <c r="AY314" i="3"/>
  <c r="AY376" i="3"/>
  <c r="AY285" i="3"/>
  <c r="AY110" i="3"/>
  <c r="AY522" i="3"/>
  <c r="AY402" i="3"/>
  <c r="AY479" i="3"/>
  <c r="AY250" i="3"/>
  <c r="AY523" i="3"/>
  <c r="AY580" i="3"/>
  <c r="AY324" i="3"/>
  <c r="AY161" i="3"/>
  <c r="AY373" i="3"/>
  <c r="AY134" i="3"/>
  <c r="AY84" i="3"/>
  <c r="AY452" i="3"/>
  <c r="AY99" i="3"/>
  <c r="AY407" i="3"/>
  <c r="AY329" i="3"/>
  <c r="AY80" i="3"/>
  <c r="AY488" i="3"/>
  <c r="AY214" i="3"/>
  <c r="AY66" i="3"/>
  <c r="AY535" i="3"/>
  <c r="AY447" i="3"/>
  <c r="AY311" i="3"/>
  <c r="AY390" i="3"/>
  <c r="AY269" i="3"/>
  <c r="AY526" i="3"/>
  <c r="AY444" i="3"/>
  <c r="AY334" i="3"/>
  <c r="AY387" i="3"/>
  <c r="AY237" i="3"/>
  <c r="AY75" i="3"/>
  <c r="AY163" i="3"/>
  <c r="AY90" i="3"/>
  <c r="AY171" i="3"/>
  <c r="AY18" i="3"/>
  <c r="AY98" i="3"/>
  <c r="AY417" i="3"/>
  <c r="AY478" i="3"/>
  <c r="AY343" i="3"/>
  <c r="AY212" i="3"/>
  <c r="AY116" i="3"/>
  <c r="AY497" i="3"/>
  <c r="AY455" i="3"/>
  <c r="AY319" i="3"/>
  <c r="AY209" i="3"/>
  <c r="AY284" i="3"/>
  <c r="AY261" i="3"/>
  <c r="AY183" i="3"/>
  <c r="AY289" i="3"/>
  <c r="AY160" i="3"/>
  <c r="AY50" i="3"/>
  <c r="AY103"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62" i="3"/>
  <c r="AY493" i="3"/>
  <c r="AY545"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49" i="3"/>
  <c r="AY135" i="3"/>
  <c r="AY30" i="3"/>
  <c r="AY548" i="3"/>
  <c r="AY515" i="3"/>
  <c r="AY538" i="3"/>
  <c r="AY415" i="3"/>
  <c r="AY434" i="3"/>
  <c r="AY476" i="3"/>
  <c r="AY320" i="3"/>
  <c r="AY361" i="3"/>
  <c r="AY113" i="3"/>
  <c r="AY64" i="3"/>
  <c r="AY532" i="3"/>
  <c r="AY536" i="3"/>
  <c r="AY419" i="3"/>
  <c r="AY480" i="3"/>
  <c r="AY341" i="3"/>
  <c r="AY275" i="3"/>
  <c r="AY29" i="3"/>
  <c r="AY507" i="3"/>
  <c r="AY227" i="3"/>
  <c r="AY286" i="3"/>
  <c r="AY173" i="3"/>
  <c r="AY20" i="3"/>
  <c r="AY100" i="3"/>
  <c r="AY573" i="3"/>
  <c r="AY245" i="3"/>
  <c r="AY46" i="3"/>
  <c r="AY570" i="3"/>
  <c r="AY14" i="3"/>
  <c r="AY426" i="3"/>
  <c r="AY312" i="3"/>
  <c r="AY380" i="3"/>
  <c r="AY137" i="3"/>
  <c r="AY584" i="3"/>
  <c r="AY427" i="3"/>
  <c r="AY349" i="3"/>
  <c r="AY24" i="3"/>
  <c r="AY138" i="3"/>
  <c r="AY180" i="3"/>
  <c r="AY34" i="3"/>
  <c r="AY144" i="3"/>
  <c r="AY529" i="3"/>
  <c r="AY276" i="3"/>
  <c r="BK6" i="3"/>
  <c r="AY28" i="3"/>
  <c r="AY294" i="3"/>
  <c r="AY554" i="3"/>
  <c r="AY177" i="3"/>
  <c r="AY210" i="3"/>
  <c r="AY332" i="3"/>
  <c r="AY446" i="3"/>
  <c r="BM6" i="3"/>
  <c r="AY510" i="3"/>
  <c r="AY519" i="3"/>
  <c r="AY189" i="3"/>
  <c r="AY287" i="3"/>
  <c r="AY234" i="3"/>
  <c r="AY364" i="3"/>
  <c r="AY344" i="3"/>
  <c r="AY471" i="3"/>
  <c r="AY458" i="3"/>
  <c r="AY439" i="3"/>
  <c r="AY506" i="3"/>
  <c r="AY524" i="3"/>
  <c r="AY542" i="3"/>
  <c r="AY578" i="3"/>
  <c r="AY63" i="3"/>
  <c r="AY192" i="3"/>
  <c r="AY428" i="3"/>
  <c r="AY342" i="3"/>
  <c r="AY513"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36" i="3"/>
  <c r="AY304" i="3"/>
  <c r="AY492" i="3"/>
  <c r="AY461" i="3"/>
  <c r="AY450" i="3"/>
  <c r="AY418" i="3"/>
  <c r="AY431" i="3"/>
  <c r="AY399" i="3"/>
  <c r="AY17" i="3"/>
  <c r="AY564" i="3"/>
  <c r="AY575" i="3"/>
  <c r="AY537" i="3"/>
  <c r="AY530" i="3"/>
  <c r="AY563" i="3"/>
  <c r="AY47" i="3"/>
  <c r="AY203" i="3"/>
  <c r="AY167" i="3"/>
  <c r="AY127" i="3"/>
  <c r="AY280" i="3"/>
  <c r="AY264" i="3"/>
  <c r="AY221" i="3"/>
  <c r="AY104" i="3"/>
  <c r="AY381" i="3"/>
  <c r="AY231" i="3"/>
  <c r="AY118" i="3"/>
  <c r="AY201" i="3"/>
  <c r="AY45" i="3"/>
  <c r="AY541" i="3"/>
  <c r="AY463" i="3"/>
  <c r="AY225" i="3"/>
  <c r="AY115" i="3"/>
  <c r="AY217" i="3"/>
  <c r="AY303" i="3"/>
  <c r="AY152" i="3"/>
  <c r="AY87" i="3"/>
  <c r="E52" i="33"/>
  <c r="F52" i="33"/>
  <c r="I53" i="33"/>
  <c r="J53" i="33"/>
  <c r="E53" i="33"/>
  <c r="F53" i="33"/>
  <c r="C48" i="33"/>
  <c r="C49" i="33"/>
  <c r="B2" i="33"/>
  <c r="F69" i="15"/>
  <c r="M20" i="6"/>
  <c r="I20" i="6"/>
  <c r="S20" i="6"/>
  <c r="S7" i="1"/>
  <c r="C18" i="67"/>
  <c r="C15" i="67"/>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433" i="3"/>
  <c r="AY465" i="3"/>
  <c r="AY395" i="3"/>
  <c r="AY106" i="3"/>
  <c r="AY318" i="3"/>
  <c r="AY187" i="3"/>
  <c r="AY35" i="3"/>
  <c r="AY78" i="3"/>
  <c r="AY94" i="3"/>
  <c r="BA6" i="3"/>
  <c r="AY531" i="3"/>
  <c r="BR6" i="3"/>
  <c r="AY509" i="3"/>
  <c r="AY502" i="3"/>
  <c r="D3" i="6"/>
  <c r="D22" i="6"/>
  <c r="AY499" i="3"/>
  <c r="AY579" i="3"/>
  <c r="AY423" i="3"/>
  <c r="AY410" i="3"/>
  <c r="AY442" i="3"/>
  <c r="AY453" i="3"/>
  <c r="AY484" i="3"/>
  <c r="AY487" i="3"/>
  <c r="AY328" i="3"/>
  <c r="AY313" i="3"/>
  <c r="AY345" i="3"/>
  <c r="AY369" i="3"/>
  <c r="AY223" i="3"/>
  <c r="AY266" i="3"/>
  <c r="AY282" i="3"/>
  <c r="AY129"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401" i="3"/>
  <c r="AY358" i="3"/>
  <c r="AY470" i="3"/>
  <c r="AY297" i="3"/>
  <c r="AY188" i="3"/>
  <c r="AY176" i="3"/>
  <c r="AY327" i="3"/>
  <c r="AY300" i="3"/>
  <c r="AY460" i="3"/>
  <c r="AY382" i="3"/>
  <c r="AY111" i="3"/>
  <c r="AY95" i="3"/>
  <c r="AY51" i="3"/>
  <c r="AY207" i="3"/>
  <c r="AY124" i="3"/>
  <c r="AY42" i="3"/>
  <c r="AY281" i="3"/>
  <c r="AY168" i="3"/>
  <c r="AY236" i="3"/>
  <c r="AY366" i="3"/>
  <c r="AY473" i="3"/>
  <c r="AY441" i="3"/>
  <c r="AY26" i="3"/>
  <c r="AY260" i="3"/>
  <c r="AY372" i="3"/>
  <c r="AY83" i="3"/>
  <c r="AY23" i="3"/>
  <c r="AY155" i="3"/>
  <c r="AY59" i="3"/>
  <c r="AY131" i="3"/>
  <c r="AY58" i="3"/>
  <c r="AY268" i="3"/>
  <c r="AY335" i="3"/>
  <c r="AY409" i="3"/>
  <c r="AY228" i="3"/>
  <c r="AY310" i="3"/>
  <c r="AY420"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Q6" i="1"/>
  <c r="AR6" i="1"/>
  <c r="S16" i="1"/>
  <c r="T6" i="1"/>
  <c r="M19" i="6"/>
  <c r="K27" i="6"/>
  <c r="D6" i="6"/>
  <c r="D10" i="69"/>
  <c r="D20" i="12"/>
  <c r="C20" i="12"/>
  <c r="C18" i="12"/>
  <c r="D10" i="68"/>
  <c r="D10" i="11"/>
  <c r="C10" i="11"/>
  <c r="D17" i="12"/>
  <c r="C17" i="12"/>
  <c r="C14" i="12"/>
  <c r="C16" i="12"/>
  <c r="C20" i="11"/>
  <c r="C28" i="11"/>
  <c r="C27" i="11"/>
  <c r="D25" i="6"/>
  <c r="D24" i="6"/>
  <c r="D28" i="6"/>
  <c r="D21" i="6"/>
  <c r="D29" i="6"/>
  <c r="D20" i="6"/>
  <c r="C15" i="74"/>
  <c r="D19" i="6"/>
  <c r="M19" i="9"/>
  <c r="C118" i="9"/>
  <c r="C14" i="74"/>
  <c r="H24" i="6"/>
  <c r="R24" i="6"/>
  <c r="D10" i="6"/>
  <c r="D23" i="6"/>
  <c r="H22" i="6"/>
  <c r="H23" i="6"/>
  <c r="R23" i="6"/>
  <c r="H21" i="6"/>
  <c r="D15" i="6"/>
  <c r="F7" i="36"/>
  <c r="J59" i="34"/>
  <c r="F7" i="40"/>
  <c r="J7" i="40"/>
  <c r="H7" i="40"/>
  <c r="AA7" i="21"/>
  <c r="R48" i="21"/>
  <c r="S7" i="21"/>
  <c r="AC7" i="36"/>
  <c r="V36" i="36"/>
  <c r="I36" i="36"/>
  <c r="W7" i="36"/>
  <c r="G52" i="21"/>
  <c r="H52" i="21"/>
  <c r="G53" i="21"/>
  <c r="H53" i="21"/>
  <c r="I48" i="35"/>
  <c r="I52" i="21"/>
  <c r="J52" i="21"/>
  <c r="J52" i="37"/>
  <c r="G68" i="39"/>
  <c r="F70" i="39"/>
  <c r="H7" i="36"/>
  <c r="C23" i="68"/>
  <c r="C26" i="68"/>
  <c r="D22" i="68"/>
  <c r="C44" i="68"/>
  <c r="D41" i="68"/>
  <c r="C26" i="12"/>
  <c r="D25" i="12"/>
  <c r="C44" i="11"/>
  <c r="D41" i="11"/>
  <c r="C23" i="11"/>
  <c r="C26" i="11"/>
  <c r="D22" i="11"/>
  <c r="C24" i="11"/>
  <c r="C25" i="11"/>
  <c r="C66" i="15"/>
  <c r="C60" i="15"/>
  <c r="C60" i="67"/>
  <c r="C66" i="67"/>
  <c r="C44" i="69"/>
  <c r="D41" i="69"/>
  <c r="C26" i="69"/>
  <c r="D22" i="69"/>
  <c r="C38" i="67"/>
  <c r="C32" i="67"/>
  <c r="C19" i="9"/>
  <c r="L16" i="1"/>
  <c r="C34" i="68"/>
  <c r="C34" i="11"/>
  <c r="U10" i="40"/>
  <c r="AB10" i="40"/>
  <c r="S10" i="40"/>
  <c r="AA10" i="40"/>
  <c r="AC10" i="39"/>
  <c r="W10" i="39"/>
  <c r="F50" i="11"/>
  <c r="F50" i="69"/>
  <c r="F50" i="68"/>
  <c r="AB10" i="39"/>
  <c r="U10" i="39"/>
  <c r="W10" i="40"/>
  <c r="AC10" i="40"/>
  <c r="S10" i="39"/>
  <c r="AA10" i="39"/>
  <c r="D12" i="6"/>
  <c r="D13" i="6"/>
  <c r="H25" i="6"/>
  <c r="R25" i="6"/>
  <c r="H26" i="6"/>
  <c r="D26" i="6"/>
  <c r="D5" i="6"/>
  <c r="H20" i="6"/>
  <c r="D14" i="6"/>
  <c r="D8" i="6"/>
  <c r="D9" i="6"/>
  <c r="E61" i="40"/>
  <c r="C18" i="4"/>
  <c r="C4" i="52"/>
  <c r="B45" i="72"/>
  <c r="D11" i="6"/>
  <c r="C102" i="9"/>
  <c r="B3" i="33"/>
  <c r="C19" i="67"/>
  <c r="C20" i="67"/>
  <c r="C26" i="67"/>
  <c r="T7" i="1"/>
  <c r="T16" i="1"/>
  <c r="AR7" i="1"/>
  <c r="AQ7" i="1"/>
  <c r="R20" i="6"/>
  <c r="R7" i="1"/>
  <c r="C21" i="12"/>
  <c r="C22" i="12"/>
  <c r="C30" i="12"/>
  <c r="C28" i="12"/>
  <c r="D27" i="6"/>
  <c r="D30" i="6"/>
  <c r="M27" i="6"/>
  <c r="I19" i="6"/>
  <c r="L18" i="9"/>
  <c r="R21" i="6"/>
  <c r="R22" i="6"/>
  <c r="C10" i="68"/>
  <c r="D19" i="68"/>
  <c r="C10" i="69"/>
  <c r="C8" i="69"/>
  <c r="C5" i="69"/>
  <c r="D19" i="69"/>
  <c r="U7" i="36"/>
  <c r="AB7" i="36"/>
  <c r="T36" i="36"/>
  <c r="G36" i="36"/>
  <c r="H68" i="39"/>
  <c r="G70" i="39"/>
  <c r="K52" i="37"/>
  <c r="L52" i="37"/>
  <c r="M52" i="37"/>
  <c r="N52" i="37"/>
  <c r="O52" i="37"/>
  <c r="F7" i="37"/>
  <c r="H7" i="37"/>
  <c r="U7" i="40"/>
  <c r="AB7" i="40"/>
  <c r="T42" i="40"/>
  <c r="G42" i="40"/>
  <c r="S7" i="40"/>
  <c r="AA7" i="40"/>
  <c r="R42" i="40"/>
  <c r="K59" i="34"/>
  <c r="L59" i="34"/>
  <c r="M59" i="34"/>
  <c r="N59" i="34"/>
  <c r="O59" i="34"/>
  <c r="J7" i="34"/>
  <c r="H7" i="34"/>
  <c r="J7" i="37"/>
  <c r="J48" i="35"/>
  <c r="I40" i="36"/>
  <c r="J40" i="36"/>
  <c r="E48" i="21"/>
  <c r="R49" i="21"/>
  <c r="W7" i="40"/>
  <c r="AC7" i="40"/>
  <c r="V42" i="40"/>
  <c r="I42" i="40"/>
  <c r="F7" i="34"/>
  <c r="S7" i="36"/>
  <c r="AA7" i="36"/>
  <c r="R36" i="36"/>
  <c r="C22" i="11"/>
  <c r="C31" i="11"/>
  <c r="C20" i="9"/>
  <c r="D16" i="6"/>
  <c r="R26" i="6"/>
  <c r="A10" i="51"/>
  <c r="B9" i="72"/>
  <c r="A7" i="51"/>
  <c r="B7" i="72"/>
  <c r="C38" i="68"/>
  <c r="C35" i="68"/>
  <c r="C35" i="11"/>
  <c r="C38" i="11"/>
  <c r="C33" i="11"/>
  <c r="C103" i="9"/>
  <c r="C23" i="67"/>
  <c r="C29" i="67"/>
  <c r="D31" i="6"/>
  <c r="I6" i="6"/>
  <c r="C27" i="12"/>
  <c r="C25" i="12"/>
  <c r="C32" i="12"/>
  <c r="B2" i="12"/>
  <c r="B3" i="12"/>
  <c r="I5" i="6"/>
  <c r="S19" i="6"/>
  <c r="S27" i="6"/>
  <c r="H19" i="6"/>
  <c r="L19" i="9"/>
  <c r="C21" i="9"/>
  <c r="I27" i="6"/>
  <c r="C19" i="69"/>
  <c r="C24" i="69"/>
  <c r="D37" i="69"/>
  <c r="C37" i="69"/>
  <c r="C33" i="69"/>
  <c r="D37" i="68"/>
  <c r="C37" i="68"/>
  <c r="C19" i="68"/>
  <c r="C23" i="69"/>
  <c r="I46" i="40"/>
  <c r="J46" i="40"/>
  <c r="C48" i="21"/>
  <c r="C49" i="21"/>
  <c r="B2" i="21"/>
  <c r="B3" i="21"/>
  <c r="E36" i="36"/>
  <c r="R37" i="36"/>
  <c r="S7" i="34"/>
  <c r="AA7" i="34"/>
  <c r="R49" i="34"/>
  <c r="E52" i="21"/>
  <c r="F52" i="21"/>
  <c r="E53" i="21"/>
  <c r="F53" i="21"/>
  <c r="I53" i="21"/>
  <c r="J53" i="21"/>
  <c r="K48" i="35"/>
  <c r="U7" i="34"/>
  <c r="AB7" i="34"/>
  <c r="T49" i="34"/>
  <c r="G49" i="34"/>
  <c r="AA7" i="37"/>
  <c r="R42" i="37"/>
  <c r="S7" i="37"/>
  <c r="G40" i="36"/>
  <c r="H40" i="36"/>
  <c r="G41" i="36"/>
  <c r="H41" i="36"/>
  <c r="W7" i="37"/>
  <c r="AC7" i="37"/>
  <c r="V42" i="37"/>
  <c r="I42" i="37"/>
  <c r="W7" i="34"/>
  <c r="AC7" i="34"/>
  <c r="V49" i="34"/>
  <c r="I49" i="34"/>
  <c r="E42" i="40"/>
  <c r="I47" i="40"/>
  <c r="J47" i="40"/>
  <c r="R43" i="40"/>
  <c r="G46" i="40"/>
  <c r="H46" i="40"/>
  <c r="G47" i="40"/>
  <c r="H47" i="40"/>
  <c r="AB7" i="37"/>
  <c r="T42" i="37"/>
  <c r="G42" i="37"/>
  <c r="U7" i="37"/>
  <c r="I68" i="39"/>
  <c r="H70" i="39"/>
  <c r="C33" i="68"/>
  <c r="C39" i="68"/>
  <c r="C43" i="68"/>
  <c r="C39" i="11"/>
  <c r="C42" i="11"/>
  <c r="C33" i="67"/>
  <c r="C57" i="67"/>
  <c r="J19" i="67"/>
  <c r="C36" i="67"/>
  <c r="J14" i="67"/>
  <c r="C13" i="67"/>
  <c r="Q49" i="67"/>
  <c r="J59" i="67"/>
  <c r="J60" i="67"/>
  <c r="Q48" i="67"/>
  <c r="Q48" i="15"/>
  <c r="C20" i="69"/>
  <c r="C25" i="69"/>
  <c r="C22" i="69"/>
  <c r="H27" i="6"/>
  <c r="R19" i="6"/>
  <c r="C20" i="68"/>
  <c r="C24" i="68"/>
  <c r="C39" i="69"/>
  <c r="C42" i="69"/>
  <c r="C42" i="40"/>
  <c r="C43" i="40"/>
  <c r="I53" i="34"/>
  <c r="J53" i="34"/>
  <c r="I46" i="37"/>
  <c r="J46" i="37"/>
  <c r="G53" i="34"/>
  <c r="H53" i="34"/>
  <c r="G54" i="34"/>
  <c r="H54" i="34"/>
  <c r="L48" i="35"/>
  <c r="R50" i="34"/>
  <c r="E49" i="34"/>
  <c r="C36" i="36"/>
  <c r="C37" i="36"/>
  <c r="B2" i="36"/>
  <c r="B3" i="36"/>
  <c r="J68" i="39"/>
  <c r="I70" i="39"/>
  <c r="G46" i="37"/>
  <c r="H46" i="37"/>
  <c r="G47" i="37"/>
  <c r="H47" i="37"/>
  <c r="E46" i="40"/>
  <c r="F46" i="40"/>
  <c r="E47" i="40"/>
  <c r="F47" i="40"/>
  <c r="E42" i="37"/>
  <c r="R43" i="37"/>
  <c r="E40" i="36"/>
  <c r="F40" i="36"/>
  <c r="E41" i="36"/>
  <c r="F41" i="36"/>
  <c r="I41" i="36"/>
  <c r="J41" i="36"/>
  <c r="C42" i="68"/>
  <c r="C41" i="68"/>
  <c r="C46" i="11"/>
  <c r="C45" i="11"/>
  <c r="C43" i="11"/>
  <c r="C41" i="11"/>
  <c r="C49" i="11"/>
  <c r="C51" i="11"/>
  <c r="C37" i="67"/>
  <c r="C56" i="67"/>
  <c r="C65" i="67"/>
  <c r="C75" i="67"/>
  <c r="Q70" i="67"/>
  <c r="C64" i="67"/>
  <c r="C61" i="67"/>
  <c r="J22" i="67"/>
  <c r="J13" i="67"/>
  <c r="J23" i="67"/>
  <c r="C57" i="15"/>
  <c r="Q49" i="15"/>
  <c r="J14" i="15"/>
  <c r="J19" i="15"/>
  <c r="C28" i="69"/>
  <c r="C27" i="69"/>
  <c r="C31" i="69"/>
  <c r="R27" i="6"/>
  <c r="C46" i="69"/>
  <c r="C45" i="69"/>
  <c r="C43" i="69"/>
  <c r="C41" i="69"/>
  <c r="C28" i="68"/>
  <c r="C27" i="68"/>
  <c r="C25" i="68"/>
  <c r="C22" i="68"/>
  <c r="C46" i="68"/>
  <c r="C45" i="68"/>
  <c r="C42" i="37"/>
  <c r="C43" i="37"/>
  <c r="B2" i="37"/>
  <c r="B3" i="37"/>
  <c r="E54" i="34"/>
  <c r="F54" i="34"/>
  <c r="E53" i="34"/>
  <c r="F53" i="34"/>
  <c r="I54" i="34"/>
  <c r="J54" i="34"/>
  <c r="B53" i="40"/>
  <c r="F53" i="40"/>
  <c r="F61" i="40"/>
  <c r="B2" i="40"/>
  <c r="B3" i="40"/>
  <c r="B58" i="40"/>
  <c r="F58" i="40"/>
  <c r="B52" i="40"/>
  <c r="F52" i="40"/>
  <c r="B51" i="40"/>
  <c r="F51" i="40"/>
  <c r="B55" i="40"/>
  <c r="F55" i="40"/>
  <c r="B60" i="40"/>
  <c r="F60" i="40"/>
  <c r="B57" i="40"/>
  <c r="F57" i="40"/>
  <c r="B59" i="40"/>
  <c r="F59" i="40"/>
  <c r="B56" i="40"/>
  <c r="F56" i="40"/>
  <c r="B54" i="40"/>
  <c r="F54" i="40"/>
  <c r="E47" i="37"/>
  <c r="F47" i="37"/>
  <c r="E46" i="37"/>
  <c r="F46" i="37"/>
  <c r="K68" i="39"/>
  <c r="J70" i="39"/>
  <c r="C50" i="34"/>
  <c r="B2" i="34"/>
  <c r="B3" i="34"/>
  <c r="C49" i="34"/>
  <c r="M48" i="35"/>
  <c r="N48" i="35"/>
  <c r="O48" i="35"/>
  <c r="J7" i="35"/>
  <c r="H7" i="35"/>
  <c r="F7" i="35"/>
  <c r="I47" i="37"/>
  <c r="J47" i="37"/>
  <c r="M21" i="67"/>
  <c r="F35" i="67"/>
  <c r="M21" i="15"/>
  <c r="C52" i="11"/>
  <c r="B2" i="11"/>
  <c r="B3" i="11"/>
  <c r="C49" i="68"/>
  <c r="C51" i="68"/>
  <c r="F63" i="15"/>
  <c r="C62" i="15"/>
  <c r="C34" i="67"/>
  <c r="C31" i="67"/>
  <c r="C30" i="67"/>
  <c r="C39" i="67"/>
  <c r="F63" i="67"/>
  <c r="C62" i="67"/>
  <c r="C59" i="67"/>
  <c r="C58" i="67"/>
  <c r="C67" i="67"/>
  <c r="C68" i="67"/>
  <c r="J20" i="15"/>
  <c r="J20" i="67"/>
  <c r="J17" i="67"/>
  <c r="J16" i="67"/>
  <c r="J25" i="67"/>
  <c r="R16" i="1"/>
  <c r="J22" i="15"/>
  <c r="J13" i="15"/>
  <c r="J23" i="15"/>
  <c r="Q70" i="15"/>
  <c r="C56" i="15"/>
  <c r="C65" i="15"/>
  <c r="J17" i="15"/>
  <c r="C64" i="15"/>
  <c r="C61" i="15"/>
  <c r="C59" i="15"/>
  <c r="C49" i="69"/>
  <c r="C51" i="69"/>
  <c r="C52" i="69"/>
  <c r="B2" i="69"/>
  <c r="B3" i="69"/>
  <c r="C31" i="68"/>
  <c r="W7" i="35"/>
  <c r="AC7" i="35"/>
  <c r="V38" i="35"/>
  <c r="I38" i="35"/>
  <c r="U7" i="35"/>
  <c r="AB7" i="35"/>
  <c r="T38" i="35"/>
  <c r="G38" i="35"/>
  <c r="AA7" i="35"/>
  <c r="R38" i="35"/>
  <c r="S7" i="35"/>
  <c r="L68" i="39"/>
  <c r="K70" i="39"/>
  <c r="L51" i="67"/>
  <c r="C56" i="11"/>
  <c r="C57" i="11"/>
  <c r="Q69" i="15"/>
  <c r="Q68" i="15"/>
  <c r="C52" i="68"/>
  <c r="B2" i="68"/>
  <c r="B3" i="68"/>
  <c r="C58" i="15"/>
  <c r="C67" i="15"/>
  <c r="C68" i="15"/>
  <c r="C71" i="15"/>
  <c r="J16" i="15"/>
  <c r="J25" i="15"/>
  <c r="L57" i="15"/>
  <c r="L60" i="15"/>
  <c r="Q67" i="67"/>
  <c r="L57" i="67"/>
  <c r="L60" i="67"/>
  <c r="C71" i="67"/>
  <c r="Q69" i="67"/>
  <c r="Q68" i="67"/>
  <c r="C40" i="67"/>
  <c r="C80" i="67"/>
  <c r="C79" i="67"/>
  <c r="C57" i="69"/>
  <c r="C56" i="69"/>
  <c r="E38" i="35"/>
  <c r="I43" i="35"/>
  <c r="J43" i="35"/>
  <c r="R39" i="35"/>
  <c r="G42" i="35"/>
  <c r="H42" i="35"/>
  <c r="G43" i="35"/>
  <c r="H43" i="35"/>
  <c r="I42" i="35"/>
  <c r="J42" i="35"/>
  <c r="M68" i="39"/>
  <c r="L70" i="39"/>
  <c r="Q65" i="15"/>
  <c r="C57" i="68"/>
  <c r="C56" i="68"/>
  <c r="Q56" i="67"/>
  <c r="Q65" i="67"/>
  <c r="Q47" i="67"/>
  <c r="Q53" i="67"/>
  <c r="C43" i="67"/>
  <c r="C83" i="67"/>
  <c r="C82" i="67"/>
  <c r="C45" i="67"/>
  <c r="C46" i="67"/>
  <c r="L46" i="67"/>
  <c r="D2" i="67"/>
  <c r="Q57" i="67"/>
  <c r="Q66" i="67"/>
  <c r="Q66" i="15"/>
  <c r="Q57" i="15"/>
  <c r="C38" i="35"/>
  <c r="C39" i="35"/>
  <c r="B2" i="35"/>
  <c r="B3" i="35"/>
  <c r="N68" i="39"/>
  <c r="M70" i="39"/>
  <c r="E43" i="35"/>
  <c r="F43" i="35"/>
  <c r="E42" i="35"/>
  <c r="F42" i="35"/>
  <c r="L51" i="15"/>
  <c r="Q47" i="15"/>
  <c r="Q53" i="15"/>
  <c r="Q67" i="15"/>
  <c r="Q75" i="67"/>
  <c r="C43" i="15"/>
  <c r="Q75" i="15"/>
  <c r="C46" i="15"/>
  <c r="C83" i="15"/>
  <c r="C82" i="15"/>
  <c r="Q56" i="15"/>
  <c r="Q62" i="15"/>
  <c r="B2" i="67"/>
  <c r="B3" i="67"/>
  <c r="Q62" i="67"/>
  <c r="O68" i="39"/>
  <c r="O70" i="39"/>
  <c r="N70" i="39"/>
  <c r="AO6" i="1"/>
  <c r="D19" i="9"/>
  <c r="D102" i="9"/>
  <c r="G19" i="9"/>
  <c r="D22" i="9"/>
  <c r="D21" i="9"/>
  <c r="B6" i="70"/>
  <c r="B2" i="70"/>
  <c r="B3" i="70"/>
  <c r="F7" i="39"/>
  <c r="J7" i="39"/>
  <c r="H7" i="39"/>
  <c r="D20" i="9"/>
  <c r="D103" i="9"/>
  <c r="G20" i="9"/>
  <c r="R24" i="31"/>
  <c r="C32" i="9"/>
  <c r="G21" i="9"/>
  <c r="AC7" i="39"/>
  <c r="V47" i="39"/>
  <c r="I47" i="39"/>
  <c r="W7" i="39"/>
  <c r="AB7" i="39"/>
  <c r="T47" i="39"/>
  <c r="G47" i="39"/>
  <c r="U7" i="39"/>
  <c r="S7" i="39"/>
  <c r="AA7" i="39"/>
  <c r="R47" i="39"/>
  <c r="R96" i="31"/>
  <c r="S96" i="31"/>
  <c r="R93" i="31"/>
  <c r="S93" i="31"/>
  <c r="R95" i="31"/>
  <c r="S95" i="31"/>
  <c r="S24" i="31"/>
  <c r="R92" i="31"/>
  <c r="S92" i="31"/>
  <c r="R88" i="31"/>
  <c r="S88" i="31"/>
  <c r="R84" i="31"/>
  <c r="S84" i="31"/>
  <c r="R80" i="31"/>
  <c r="S80" i="31"/>
  <c r="R76" i="31"/>
  <c r="S76" i="31"/>
  <c r="R72" i="31"/>
  <c r="S72" i="31"/>
  <c r="R68" i="31"/>
  <c r="S68" i="31"/>
  <c r="R64" i="31"/>
  <c r="S64" i="31"/>
  <c r="R60" i="31"/>
  <c r="S60" i="31"/>
  <c r="R56" i="31"/>
  <c r="S56" i="31"/>
  <c r="R52" i="31"/>
  <c r="S52" i="31"/>
  <c r="R48" i="31"/>
  <c r="S48" i="31"/>
  <c r="R44" i="31"/>
  <c r="S44" i="31"/>
  <c r="R40" i="31"/>
  <c r="S40" i="31"/>
  <c r="R36" i="31"/>
  <c r="S36" i="31"/>
  <c r="R32" i="31"/>
  <c r="S32" i="31"/>
  <c r="R28" i="31"/>
  <c r="S28" i="31"/>
  <c r="R89" i="31"/>
  <c r="S89" i="31"/>
  <c r="R85" i="31"/>
  <c r="S85" i="31"/>
  <c r="R81" i="31"/>
  <c r="S81" i="31"/>
  <c r="R77" i="31"/>
  <c r="S77" i="31"/>
  <c r="R73" i="31"/>
  <c r="S73" i="31"/>
  <c r="R69" i="31"/>
  <c r="S69" i="31"/>
  <c r="R65" i="31"/>
  <c r="S65" i="31"/>
  <c r="R61" i="31"/>
  <c r="S61" i="31"/>
  <c r="R57" i="31"/>
  <c r="S57" i="31"/>
  <c r="R53" i="31"/>
  <c r="S53" i="31"/>
  <c r="R49" i="31"/>
  <c r="S49" i="31"/>
  <c r="R45" i="31"/>
  <c r="S45" i="31"/>
  <c r="R41" i="31"/>
  <c r="S41" i="31"/>
  <c r="R37" i="31"/>
  <c r="S37" i="31"/>
  <c r="R33" i="31"/>
  <c r="S33" i="31"/>
  <c r="R29" i="31"/>
  <c r="S29" i="31"/>
  <c r="R25" i="31"/>
  <c r="S25" i="31"/>
  <c r="R90" i="31"/>
  <c r="S90" i="31"/>
  <c r="R86" i="31"/>
  <c r="S86" i="31"/>
  <c r="R82" i="31"/>
  <c r="S82" i="31"/>
  <c r="R78" i="31"/>
  <c r="S78" i="31"/>
  <c r="R74" i="31"/>
  <c r="S74" i="31"/>
  <c r="R70" i="31"/>
  <c r="S70" i="31"/>
  <c r="R66" i="31"/>
  <c r="S66" i="31"/>
  <c r="R62" i="31"/>
  <c r="S62" i="31"/>
  <c r="R58" i="31"/>
  <c r="S58" i="31"/>
  <c r="R54" i="31"/>
  <c r="S54" i="31"/>
  <c r="R50" i="31"/>
  <c r="S50" i="31"/>
  <c r="R46" i="31"/>
  <c r="S46" i="31"/>
  <c r="R42" i="31"/>
  <c r="S42" i="31"/>
  <c r="R38" i="31"/>
  <c r="S38" i="31"/>
  <c r="R34" i="31"/>
  <c r="S34" i="31"/>
  <c r="R30" i="31"/>
  <c r="S30" i="31"/>
  <c r="R91" i="31"/>
  <c r="S91" i="31"/>
  <c r="R87" i="31"/>
  <c r="S87" i="31"/>
  <c r="R83" i="31"/>
  <c r="S83" i="31"/>
  <c r="R79" i="31"/>
  <c r="S79" i="31"/>
  <c r="R75" i="31"/>
  <c r="S75" i="31"/>
  <c r="R71" i="31"/>
  <c r="S71" i="31"/>
  <c r="R67" i="31"/>
  <c r="S67" i="31"/>
  <c r="R63" i="31"/>
  <c r="S63" i="31"/>
  <c r="R59" i="31"/>
  <c r="S59" i="31"/>
  <c r="R55" i="31"/>
  <c r="S55" i="31"/>
  <c r="R51" i="31"/>
  <c r="S51" i="31"/>
  <c r="R47" i="31"/>
  <c r="S47" i="31"/>
  <c r="R43" i="31"/>
  <c r="S43" i="31"/>
  <c r="R39" i="31"/>
  <c r="S39" i="31"/>
  <c r="R35" i="31"/>
  <c r="S35" i="31"/>
  <c r="R31" i="31"/>
  <c r="S31" i="31"/>
  <c r="R27" i="31"/>
  <c r="S27" i="31"/>
  <c r="H118" i="9"/>
  <c r="C35" i="9"/>
  <c r="F118" i="9"/>
  <c r="G51" i="39"/>
  <c r="H51" i="39"/>
  <c r="G52" i="39"/>
  <c r="H52" i="39"/>
  <c r="I51" i="39"/>
  <c r="J51" i="39"/>
  <c r="E47" i="39"/>
  <c r="R48" i="39"/>
  <c r="S22" i="31"/>
  <c r="C34" i="9"/>
  <c r="D118" i="9"/>
  <c r="D119" i="9"/>
  <c r="D5" i="52"/>
  <c r="B49" i="72"/>
  <c r="D14" i="74"/>
  <c r="C104" i="9"/>
  <c r="H101" i="9"/>
  <c r="H119" i="9"/>
  <c r="H5" i="52"/>
  <c r="I118" i="9"/>
  <c r="H4" i="52"/>
  <c r="G118" i="9"/>
  <c r="G4" i="52"/>
  <c r="B52" i="72"/>
  <c r="F119" i="9"/>
  <c r="F5" i="52"/>
  <c r="B53" i="72"/>
  <c r="F4" i="52"/>
  <c r="B51" i="72"/>
  <c r="E52" i="39"/>
  <c r="F52" i="39"/>
  <c r="E51" i="39"/>
  <c r="F51" i="39"/>
  <c r="C48" i="39"/>
  <c r="C47" i="39"/>
  <c r="I52" i="39"/>
  <c r="J52" i="39"/>
  <c r="R22" i="31"/>
  <c r="B21" i="31"/>
  <c r="B20" i="31"/>
  <c r="D15" i="74"/>
  <c r="G15" i="74"/>
  <c r="D4" i="52"/>
  <c r="B47" i="72"/>
  <c r="C105" i="9"/>
  <c r="I4" i="52"/>
  <c r="H102" i="9"/>
  <c r="D7" i="53"/>
  <c r="B21" i="72"/>
  <c r="E118" i="9"/>
  <c r="E4" i="52"/>
  <c r="B48" i="72"/>
  <c r="M48" i="9"/>
  <c r="D5" i="53"/>
  <c r="H107" i="9"/>
  <c r="D45" i="9"/>
  <c r="F14" i="74"/>
  <c r="E14" i="74"/>
  <c r="B61" i="39"/>
  <c r="F61" i="39"/>
  <c r="B56" i="39"/>
  <c r="F56" i="39"/>
  <c r="F66" i="39"/>
  <c r="B2" i="39"/>
  <c r="B3" i="39"/>
  <c r="B59" i="39"/>
  <c r="F59" i="39"/>
  <c r="B65" i="39"/>
  <c r="F65" i="39"/>
  <c r="B63" i="39"/>
  <c r="F63" i="39"/>
  <c r="B60" i="39"/>
  <c r="F60" i="39"/>
  <c r="B58" i="39"/>
  <c r="F58" i="39"/>
  <c r="B64" i="39"/>
  <c r="F64" i="39"/>
  <c r="B57" i="39"/>
  <c r="F57" i="39"/>
  <c r="B62" i="39"/>
  <c r="F62" i="39"/>
  <c r="E15" i="74"/>
  <c r="F15" i="74"/>
  <c r="D55" i="9"/>
  <c r="M53" i="9"/>
  <c r="C78" i="9"/>
  <c r="C73" i="9"/>
  <c r="C64" i="9"/>
  <c r="C63" i="9"/>
  <c r="C67" i="9"/>
  <c r="C68" i="9"/>
  <c r="D54" i="9"/>
  <c r="C85" i="9"/>
  <c r="C93" i="9"/>
  <c r="C86" i="9"/>
  <c r="D53" i="9"/>
  <c r="D52" i="9"/>
  <c r="C72" i="9"/>
  <c r="C79" i="9"/>
  <c r="D6" i="53"/>
  <c r="B22" i="72"/>
  <c r="B20" i="72"/>
  <c r="M49" i="9"/>
  <c r="H108" i="9"/>
  <c r="D15" i="53"/>
  <c r="B31" i="72"/>
  <c r="D13" i="53"/>
  <c r="D122" i="9"/>
  <c r="B30" i="72"/>
  <c r="D14" i="53"/>
  <c r="B32" i="72"/>
  <c r="L65" i="9"/>
  <c r="M65" i="9"/>
  <c r="L67" i="9"/>
  <c r="M67" i="9"/>
  <c r="L66" i="9"/>
  <c r="M66" i="9"/>
  <c r="L64" i="9"/>
  <c r="M64" i="9"/>
  <c r="L68" i="9"/>
  <c r="M68" i="9"/>
  <c r="L63" i="9"/>
  <c r="M63" i="9"/>
  <c r="G14" i="74"/>
  <c r="D123" i="9"/>
  <c r="D9" i="52"/>
  <c r="D8" i="52"/>
  <c r="C80" i="9"/>
  <c r="E80" i="9"/>
  <c r="E81" i="9"/>
  <c r="C95" i="9"/>
  <c r="M69" i="9"/>
  <c r="N69" i="9"/>
  <c r="C81" i="9"/>
  <c r="C96" i="9"/>
  <c r="E96" i="9"/>
  <c r="E97" i="9"/>
  <c r="C97" i="9"/>
  <c r="D58" i="9"/>
  <c r="D56" i="9"/>
  <c r="M54" i="9"/>
  <c r="N57" i="9"/>
  <c r="P57" i="9"/>
  <c r="N59" i="9"/>
  <c r="N60" i="9"/>
  <c r="N58" i="9"/>
  <c r="N61" i="9"/>
  <c r="B16" i="74"/>
  <c r="B1" i="74"/>
  <c r="C7" i="74"/>
  <c r="C8" i="74"/>
  <c r="C16" i="74"/>
  <c r="B2" i="74"/>
  <c r="D7" i="74"/>
  <c r="D8" i="74"/>
  <c r="D16" i="74"/>
  <c r="E16" i="74"/>
  <c r="F16" i="74"/>
  <c r="B5" i="74"/>
  <c r="C5" i="74"/>
  <c r="D5" i="74"/>
  <c r="G16" i="74"/>
  <c r="B6" i="74"/>
  <c r="C6" i="74"/>
  <c r="D6" i="74"/>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E37" i="43"/>
  <c r="G37" i="43"/>
  <c r="I37" i="43"/>
  <c r="E35" i="43"/>
  <c r="G35" i="43"/>
  <c r="I35" i="43"/>
  <c r="E36" i="43"/>
  <c r="G36" i="43"/>
  <c r="I36" i="43"/>
  <c r="G38" i="43"/>
  <c r="I38" i="43"/>
  <c r="E38" i="43"/>
  <c r="E39" i="43"/>
  <c r="G39" i="43"/>
  <c r="I39" i="43"/>
  <c r="E34" i="43"/>
  <c r="G34" i="43"/>
  <c r="I34" i="43"/>
  <c r="T16" i="43"/>
  <c r="V16" i="43"/>
  <c r="T3" i="43"/>
  <c r="V3" i="43"/>
  <c r="T15" i="43"/>
  <c r="V15" i="43"/>
  <c r="T6" i="43"/>
  <c r="V6" i="43"/>
  <c r="T9" i="43"/>
  <c r="V9" i="43"/>
  <c r="T5" i="43"/>
  <c r="V5" i="43"/>
  <c r="T7" i="43"/>
  <c r="V7" i="43"/>
  <c r="T12" i="43"/>
  <c r="V12" i="43"/>
  <c r="T2" i="43"/>
  <c r="V2" i="43"/>
  <c r="T10" i="43"/>
  <c r="V10" i="43"/>
  <c r="T11" i="43"/>
  <c r="V11" i="43"/>
  <c r="T8" i="43"/>
  <c r="V8" i="43"/>
  <c r="T4" i="43"/>
  <c r="V4" i="43"/>
  <c r="T13" i="43"/>
  <c r="V13" i="43"/>
  <c r="T14" i="43"/>
  <c r="V14"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<sst xmlns="http://schemas.openxmlformats.org/spreadsheetml/2006/main" count="7696" uniqueCount="3224">
  <si>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</si>
  <si>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</si>
  <si>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</si>
  <si>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</si>
  <si>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</si>
  <si>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</si>
  <si>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</si>
  <si>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</si>
  <si>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</si>
  <si>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</si>
  <si>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</si>
  <si>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</si>
  <si>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</si>
  <si>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</si>
  <si>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</si>
  <si>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</si>
  <si>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</si>
  <si>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</si>
  <si>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</si>
  <si>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</si>
  <si>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</si>
  <si>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</si>
  <si>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</si>
  <si>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</si>
  <si>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</si>
  <si>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</si>
  <si>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</si>
  <si>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</si>
  <si>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</si>
  <si>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</si>
  <si>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</si>
  <si>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</si>
  <si>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</si>
  <si>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</si>
  <si>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</si>
  <si>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</si>
  <si>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</si>
  <si>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</si>
  <si>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</si>
  <si>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</si>
  <si>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</si>
  <si>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</si>
  <si>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</si>
  <si>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</si>
  <si>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</si>
  <si>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</si>
  <si>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</si>
  <si>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</si>
  <si>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</si>
  <si>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</si>
  <si>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</si>
  <si>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</si>
  <si>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</si>
  <si>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</si>
  <si>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</si>
  <si>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</si>
  <si>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</si>
  <si>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</si>
  <si>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</si>
  <si>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</si>
  <si>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</si>
  <si>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</si>
  <si>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</si>
  <si>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</si>
  <si>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</si>
  <si>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</si>
  <si>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</si>
  <si>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</si>
  <si>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</si>
  <si>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</si>
  <si>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</si>
  <si>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</si>
  <si>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</si>
  <si>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</si>
  <si>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</si>
  <si>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</si>
  <si>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</si>
  <si>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</si>
  <si>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</si>
  <si>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</si>
  <si>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</si>
  <si>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</si>
  <si>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</si>
  <si>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</si>
  <si>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</si>
  <si>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</si>
  <si>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</si>
  <si>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</si>
  <si>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</si>
  <si>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</si>
  <si>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</si>
  <si>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</si>
  <si>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</si>
  <si>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</si>
  <si>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</si>
  <si>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</si>
  <si>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</si>
  <si>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</si>
  <si>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</si>
  <si>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</si>
  <si>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</si>
  <si>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</si>
  <si>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</si>
  <si>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</si>
  <si>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</si>
  <si>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</si>
  <si>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</si>
  <si>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</si>
  <si>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</si>
  <si>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</si>
  <si>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</si>
  <si>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</si>
  <si>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</si>
  <si>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</si>
  <si>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</si>
  <si>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</si>
  <si>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</si>
  <si>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</si>
  <si>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</si>
  <si>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</si>
  <si>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</si>
  <si>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</si>
  <si>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</si>
  <si>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</si>
  <si>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</si>
  <si>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</si>
  <si>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</si>
  <si>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</si>
  <si>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</si>
  <si>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</si>
  <si>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</si>
  <si>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</si>
  <si>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</si>
  <si>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</si>
  <si>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</si>
  <si>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</si>
  <si>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</si>
  <si>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</si>
  <si>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</si>
  <si>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</si>
  <si>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</si>
  <si>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</si>
  <si>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</si>
  <si>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</si>
  <si>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</si>
  <si>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</si>
  <si>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</si>
  <si>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</si>
  <si>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</si>
  <si>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</si>
  <si>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</si>
  <si>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</si>
  <si>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</si>
  <si>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</si>
  <si>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</si>
  <si>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</si>
  <si>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</si>
  <si>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</si>
  <si>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</si>
  <si>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</si>
  <si>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</si>
  <si>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</si>
  <si>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</si>
  <si>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</si>
  <si>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</si>
  <si>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</si>
  <si>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</si>
  <si>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</si>
  <si>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</si>
  <si>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</si>
  <si>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</si>
  <si>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</si>
  <si>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</si>
  <si>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</si>
  <si>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</si>
  <si>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</si>
  <si>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</si>
  <si>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</si>
  <si>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</si>
  <si>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</si>
  <si>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</si>
  <si>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</si>
  <si>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</si>
  <si>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</si>
  <si>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</si>
  <si>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</si>
  <si>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</si>
  <si>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</si>
  <si>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</si>
  <si>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</si>
  <si>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</si>
  <si>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</si>
  <si>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</si>
  <si>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</si>
  <si>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</si>
  <si>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</si>
  <si>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</si>
  <si>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</si>
  <si>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</si>
  <si>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</si>
  <si>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</si>
  <si>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</si>
  <si>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</si>
  <si>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</si>
  <si>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</si>
  <si>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</si>
  <si>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</si>
  <si>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</si>
  <si>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</si>
  <si>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</si>
  <si>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</si>
  <si>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</si>
  <si>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</si>
  <si>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</si>
  <si>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</si>
  <si>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</si>
  <si>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</si>
  <si>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</si>
  <si>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</si>
  <si>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</si>
  <si>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</si>
  <si>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</si>
  <si>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</si>
  <si>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</si>
  <si>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</si>
  <si>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</si>
  <si>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</si>
  <si>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</si>
  <si>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</si>
  <si>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</si>
  <si>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</si>
  <si>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</si>
  <si>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</si>
  <si>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</si>
  <si>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</si>
  <si>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</si>
  <si>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</si>
  <si>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</si>
  <si>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</si>
  <si>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</si>
  <si>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</si>
  <si>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</si>
  <si>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</si>
  <si>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</si>
  <si>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</si>
  <si>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</si>
  <si>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</si>
  <si>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</si>
  <si>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</si>
  <si>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</si>
  <si>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</si>
  <si>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</si>
  <si>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</si>
  <si>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</si>
  <si>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</si>
  <si>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</si>
  <si>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</si>
  <si>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</si>
  <si>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</si>
  <si>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</si>
  <si>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</si>
  <si>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</si>
  <si>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</si>
  <si>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</si>
  <si>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</si>
  <si>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</si>
  <si>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</si>
  <si>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</si>
  <si>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</si>
  <si>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</si>
  <si>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</si>
  <si>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</si>
  <si>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</si>
  <si>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</si>
  <si>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</si>
  <si>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</si>
  <si>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</si>
  <si>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</si>
  <si>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</si>
  <si>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</si>
  <si>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</si>
  <si>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</si>
  <si>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</si>
  <si>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</si>
  <si>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</si>
  <si>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</si>
  <si>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</si>
  <si>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</si>
  <si>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</si>
  <si>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</si>
  <si>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</si>
  <si>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</si>
  <si>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</si>
  <si>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</si>
  <si>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</si>
  <si>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</si>
  <si>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</si>
  <si>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</si>
  <si>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</si>
  <si>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</si>
  <si>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</si>
  <si>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</si>
  <si>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</si>
  <si>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</si>
  <si>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</si>
  <si>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</si>
  <si>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</si>
  <si>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</si>
  <si>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</si>
  <si>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</si>
  <si>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</si>
  <si>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</si>
  <si>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</si>
  <si>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</si>
  <si>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</si>
  <si>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</si>
  <si>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</si>
  <si>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</si>
  <si>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</si>
  <si>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</si>
  <si>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</si>
  <si>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</si>
  <si>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</si>
  <si>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</si>
  <si>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</si>
  <si>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</si>
  <si>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</si>
  <si>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</si>
  <si>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</si>
  <si>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</si>
  <si>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</si>
  <si>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</si>
  <si>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</si>
  <si>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</si>
  <si>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</si>
  <si>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</si>
  <si>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</si>
  <si>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</si>
  <si>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</si>
  <si>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</si>
  <si>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</si>
  <si>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</si>
  <si>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</si>
  <si>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</si>
  <si>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</si>
  <si>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</si>
  <si>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</si>
  <si>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</si>
  <si>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</si>
  <si>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</si>
  <si>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</si>
  <si>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</si>
  <si>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</si>
  <si>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</si>
  <si>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</si>
  <si>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</si>
  <si>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</si>
  <si>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</si>
  <si>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</si>
  <si>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</si>
  <si>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</si>
  <si>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</si>
  <si>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</si>
  <si>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</si>
  <si>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</si>
  <si>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</si>
  <si>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</si>
  <si>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</si>
  <si>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</si>
  <si>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</si>
  <si>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</si>
  <si>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</si>
  <si>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</si>
  <si>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</si>
  <si>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</si>
  <si>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</si>
  <si>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</si>
  <si>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</si>
  <si>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</si>
  <si>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</si>
  <si>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</si>
  <si>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</si>
  <si>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</si>
  <si>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</si>
  <si>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</si>
  <si>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</si>
  <si>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</si>
  <si>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</si>
  <si>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</si>
  <si>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</si>
  <si>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</si>
  <si>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</si>
  <si>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</si>
  <si>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</si>
  <si>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</si>
  <si>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</si>
  <si>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</si>
  <si>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</si>
  <si>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</si>
  <si>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</si>
  <si>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</si>
  <si>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</si>
  <si>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</si>
  <si>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</si>
  <si>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</si>
  <si>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</si>
  <si>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</si>
  <si>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</si>
  <si>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</si>
  <si>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</si>
  <si>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</si>
  <si>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</si>
  <si>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</si>
  <si>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</si>
  <si>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</si>
  <si>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</si>
  <si>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</si>
  <si>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</si>
  <si>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</si>
  <si>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</si>
  <si>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</si>
  <si>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</si>
  <si>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</si>
  <si>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</si>
  <si>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</si>
  <si>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</si>
  <si>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</si>
  <si>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</si>
  <si>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</si>
  <si>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</si>
  <si>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</si>
  <si>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</si>
  <si>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</si>
  <si>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</si>
  <si>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</si>
  <si>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</si>
  <si>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</si>
  <si>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</si>
  <si>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</si>
  <si>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</si>
  <si>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</si>
  <si>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</si>
  <si>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</si>
  <si>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</si>
  <si>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</si>
  <si>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</si>
  <si>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</si>
  <si>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</si>
  <si>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</si>
  <si>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</si>
  <si>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</si>
  <si>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</si>
  <si>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</si>
  <si>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</si>
  <si>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</si>
  <si>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</si>
  <si>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</si>
  <si>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</si>
  <si>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</si>
  <si>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</si>
  <si>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</si>
  <si>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</si>
  <si>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</si>
  <si>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</si>
  <si>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</si>
  <si>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</si>
  <si>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</si>
  <si>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</si>
  <si>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</si>
  <si>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</si>
  <si>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</si>
  <si>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</si>
  <si>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</si>
  <si>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</si>
  <si>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</si>
  <si>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</si>
  <si>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</si>
  <si>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</si>
  <si>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</si>
  <si>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</si>
  <si>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</si>
  <si>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</si>
  <si>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</si>
  <si>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</si>
  <si>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</si>
  <si>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</si>
  <si>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</si>
  <si>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</si>
  <si>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</si>
  <si>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</si>
  <si>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</si>
  <si>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</si>
  <si>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</si>
  <si>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</si>
  <si>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</si>
  <si>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</si>
  <si>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</si>
  <si>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</si>
  <si>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</si>
  <si>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</si>
  <si>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</si>
  <si>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</si>
  <si>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</si>
  <si>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</si>
  <si>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</si>
  <si>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</si>
  <si>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</si>
  <si>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</si>
  <si>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</si>
  <si>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</si>
  <si>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</si>
  <si>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</si>
  <si>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</si>
  <si>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</si>
  <si>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</si>
  <si>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</si>
  <si>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</si>
  <si>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</si>
  <si>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</si>
  <si>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</si>
  <si>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</si>
  <si>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</si>
  <si>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</si>
  <si>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</si>
  <si>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</si>
  <si>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</si>
  <si>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</si>
  <si>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</si>
  <si>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</si>
  <si>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</si>
  <si>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</si>
  <si>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</si>
  <si>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</si>
  <si>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</si>
  <si>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</si>
  <si>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</si>
  <si>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</si>
  <si>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</si>
  <si>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</si>
  <si>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</si>
  <si>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</si>
  <si>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</si>
  <si>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</si>
  <si>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</si>
  <si>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</si>
  <si>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</si>
  <si>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</si>
  <si>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</si>
  <si>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</si>
  <si>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</si>
  <si>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</si>
  <si>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</si>
  <si>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</si>
  <si>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</si>
  <si>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</si>
  <si>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</si>
  <si>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</si>
  <si>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</si>
  <si>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</si>
  <si>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</si>
  <si>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</si>
  <si>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</si>
  <si>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</si>
  <si>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</si>
  <si>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</si>
  <si>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</si>
  <si>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</si>
  <si>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</si>
  <si>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</si>
  <si>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</si>
  <si>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</si>
  <si>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</si>
  <si>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</si>
  <si>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</si>
  <si>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</si>
  <si>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</si>
  <si>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</si>
  <si>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</si>
  <si>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</si>
  <si>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</si>
  <si>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</si>
  <si>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</si>
  <si>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</si>
  <si>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</si>
  <si>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</si>
  <si>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</si>
  <si>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</si>
  <si>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</si>
  <si>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</si>
  <si>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</si>
  <si>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</si>
  <si>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</si>
  <si>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</si>
  <si>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</si>
  <si>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</si>
  <si>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</si>
  <si>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</si>
  <si>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</si>
  <si>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</si>
  <si>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</si>
  <si>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</si>
  <si>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</si>
  <si>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</si>
  <si>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</si>
  <si>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</si>
  <si>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</si>
  <si>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</si>
  <si>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</si>
  <si>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</si>
  <si>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</si>
  <si>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</si>
  <si>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</si>
  <si>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</si>
  <si>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</si>
  <si>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</si>
  <si>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</si>
  <si>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</si>
  <si>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</si>
  <si>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</si>
  <si>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</si>
  <si>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</si>
  <si>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</si>
  <si>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</si>
  <si>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</si>
  <si>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</si>
  <si>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</si>
  <si>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</si>
  <si>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</si>
  <si>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</si>
  <si>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</si>
  <si>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</si>
  <si>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</si>
  <si>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</si>
  <si>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</si>
  <si>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</si>
  <si>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</si>
  <si>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</si>
  <si>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</si>
  <si>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</si>
  <si>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</si>
  <si>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</si>
  <si>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</si>
  <si>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</si>
  <si>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</si>
  <si>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</si>
  <si>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</si>
  <si>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</si>
  <si>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</si>
  <si>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</si>
  <si>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</si>
  <si>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</si>
  <si>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</si>
  <si>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</si>
  <si>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</si>
  <si>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</si>
  <si>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</si>
  <si>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</si>
  <si>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</si>
  <si>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</si>
  <si>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</si>
  <si>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</si>
  <si>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</si>
  <si>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</si>
  <si>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</si>
  <si>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</si>
  <si>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</si>
  <si>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</si>
  <si>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</si>
  <si>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</si>
  <si>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</si>
  <si>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</si>
  <si>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</si>
  <si>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</si>
  <si>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</si>
  <si>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</si>
  <si>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</si>
  <si>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</si>
  <si>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</si>
  <si>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</si>
  <si>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</si>
  <si>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</si>
  <si>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</si>
  <si>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</si>
  <si>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</si>
  <si>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</si>
  <si>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</si>
  <si>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</si>
  <si>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</si>
  <si>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</si>
  <si>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</si>
  <si>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</si>
  <si>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</si>
  <si>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</si>
  <si>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</si>
  <si>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</si>
  <si>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</si>
  <si>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</si>
  <si>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</si>
  <si>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</si>
  <si>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</si>
  <si>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</si>
  <si>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</si>
  <si>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</si>
  <si>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</si>
  <si>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</si>
  <si>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</si>
  <si>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</si>
  <si>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</si>
  <si>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</si>
  <si>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</si>
  <si>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</si>
  <si>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</si>
  <si>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</si>
  <si>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</si>
  <si>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</si>
  <si>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</si>
  <si>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</si>
  <si>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</si>
  <si>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</si>
  <si>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</si>
  <si>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</si>
  <si>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</si>
  <si>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</si>
  <si>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</si>
  <si>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</si>
  <si>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</si>
  <si>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</si>
  <si>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</si>
  <si>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</si>
  <si>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</si>
  <si>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</si>
  <si>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</si>
  <si>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</si>
  <si>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</si>
  <si>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</si>
  <si>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</si>
  <si>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</si>
  <si>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</si>
  <si>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</si>
  <si>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</si>
  <si>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</si>
  <si>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</si>
  <si>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</si>
  <si>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</si>
  <si>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</si>
  <si>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</si>
  <si>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</si>
  <si>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</si>
  <si>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</si>
  <si>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</si>
  <si>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</si>
  <si>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</si>
  <si>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</si>
  <si>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</si>
  <si>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</si>
  <si>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</si>
  <si>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</si>
  <si>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</si>
  <si>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</si>
  <si>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</si>
  <si>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</si>
  <si>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</si>
  <si>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</si>
  <si>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</si>
  <si>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</si>
  <si>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</si>
  <si>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</si>
  <si>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</si>
  <si>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</si>
  <si>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</si>
  <si>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</si>
  <si>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</si>
  <si>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</si>
  <si>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</si>
  <si>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</si>
  <si>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</si>
  <si>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</si>
  <si>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</si>
  <si>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</si>
  <si>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</si>
  <si>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</si>
  <si>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</si>
  <si>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</si>
  <si>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</si>
  <si>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</si>
  <si>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</si>
  <si>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</si>
  <si>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</si>
  <si>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</si>
  <si>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</si>
  <si>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</si>
  <si>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</si>
  <si>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</si>
  <si>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</si>
  <si>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</si>
  <si>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</si>
  <si>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</si>
  <si>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</si>
  <si>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</si>
  <si>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</si>
  <si>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</si>
  <si>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</si>
  <si>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</si>
  <si>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</si>
  <si>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</si>
  <si>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</si>
  <si>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</si>
  <si>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</si>
  <si>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</si>
  <si>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</si>
  <si>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</si>
  <si>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</si>
  <si>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</si>
  <si>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</si>
  <si>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</si>
  <si>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</si>
  <si>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</si>
  <si>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</si>
  <si>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</si>
  <si>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</si>
  <si>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</si>
  <si>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</si>
  <si>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</si>
  <si>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</si>
  <si>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</si>
  <si>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</si>
  <si>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</si>
  <si>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</si>
  <si>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</si>
  <si>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</si>
  <si>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</si>
  <si>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</si>
  <si>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</si>
  <si>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</si>
  <si>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</si>
  <si>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</si>
  <si>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</si>
  <si>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</si>
  <si>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</si>
  <si>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</si>
  <si>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</si>
  <si>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</si>
  <si>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</si>
  <si>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</si>
  <si>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</si>
  <si>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</si>
  <si>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</si>
  <si>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</si>
  <si>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</si>
  <si>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</si>
  <si>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</si>
  <si>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</si>
  <si>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</si>
  <si>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</si>
  <si>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</si>
  <si>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</si>
  <si>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</si>
  <si>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</si>
  <si>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</si>
  <si>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</si>
  <si>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</si>
  <si>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</si>
  <si>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</si>
  <si>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</si>
  <si>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</si>
  <si>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</si>
  <si>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</si>
  <si>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</si>
  <si>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</si>
  <si>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</si>
  <si>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</si>
  <si>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</si>
  <si>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</si>
  <si>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</si>
  <si>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</si>
  <si>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</si>
  <si>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</si>
  <si>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</si>
  <si>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</si>
  <si>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</si>
  <si>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</si>
  <si>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</si>
  <si>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</si>
  <si>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</si>
  <si>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</si>
  <si>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</si>
  <si>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</si>
  <si>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</si>
  <si>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</si>
  <si>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</si>
  <si>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</si>
  <si>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</si>
  <si>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</si>
  <si>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</si>
  <si>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</si>
  <si>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</si>
  <si>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</si>
  <si>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</si>
  <si>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</si>
  <si>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</si>
  <si>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</si>
  <si>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</si>
  <si>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</si>
  <si>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</si>
  <si>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</si>
  <si>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</si>
  <si>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</si>
  <si>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</si>
  <si>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</si>
  <si>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</si>
  <si>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</si>
  <si>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</si>
  <si>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</si>
  <si>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</si>
  <si>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</si>
  <si>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</si>
  <si>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</si>
  <si>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</si>
  <si>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</si>
  <si>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</si>
  <si>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</si>
  <si>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</si>
  <si>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</si>
  <si>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</si>
  <si>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</si>
  <si>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</si>
  <si>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</si>
  <si>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</si>
  <si>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</si>
  <si>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</si>
  <si>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</si>
  <si>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</si>
  <si>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</si>
  <si>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</si>
  <si>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</si>
  <si>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</si>
  <si>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</si>
  <si>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</si>
  <si>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</si>
  <si>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</si>
  <si>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</si>
  <si>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</si>
  <si>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</si>
  <si>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</si>
  <si>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</si>
  <si>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</si>
  <si>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</si>
  <si>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</si>
  <si>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</si>
  <si>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</si>
  <si>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</si>
  <si>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</si>
  <si>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</si>
  <si>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</si>
  <si>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</si>
  <si>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</si>
  <si>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</si>
  <si>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</si>
  <si>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</si>
  <si>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</si>
  <si>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</si>
  <si>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</si>
  <si>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</si>
  <si>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</si>
  <si>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</si>
  <si>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</si>
  <si>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</si>
  <si>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</si>
  <si>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</si>
  <si>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</si>
  <si>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</si>
  <si>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</si>
  <si>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</si>
  <si>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</si>
  <si>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</si>
  <si>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</si>
  <si>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</si>
  <si>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</si>
  <si>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</si>
  <si>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</si>
  <si>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</si>
  <si>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</si>
  <si>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</si>
  <si>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</si>
  <si>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</si>
  <si>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</si>
  <si>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</si>
  <si>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</si>
  <si>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</si>
  <si>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</si>
  <si>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</si>
  <si>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</si>
  <si>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</si>
  <si>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</si>
  <si>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</si>
  <si>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</si>
  <si>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</si>
  <si>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</si>
  <si>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</si>
  <si>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</si>
  <si>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</si>
  <si>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</si>
  <si>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</si>
  <si>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</si>
  <si>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</si>
  <si>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</si>
  <si>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</si>
  <si>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</si>
  <si>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</si>
  <si>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</si>
  <si>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</si>
  <si>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</si>
  <si>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</si>
  <si>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</si>
  <si>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</si>
  <si>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</si>
  <si>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</si>
  <si>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</si>
  <si>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</si>
  <si>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</si>
  <si>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</si>
  <si>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</si>
  <si>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</si>
  <si>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</si>
  <si>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</si>
  <si>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</si>
  <si>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</si>
  <si>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</si>
  <si>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</si>
  <si>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</si>
  <si>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</si>
  <si>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</si>
  <si>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</si>
  <si>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</si>
  <si>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</si>
  <si>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</si>
  <si>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</si>
  <si>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</si>
  <si>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</si>
  <si>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</si>
  <si>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</si>
  <si>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</si>
  <si>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</si>
  <si>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</si>
  <si>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</si>
  <si>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</si>
  <si>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</si>
  <si>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</si>
  <si>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</si>
  <si>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</si>
  <si>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</si>
  <si>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</si>
  <si>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</si>
  <si>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</si>
  <si>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</si>
  <si>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</si>
  <si>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</si>
  <si>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</si>
  <si>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</si>
  <si>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</si>
  <si>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</si>
  <si>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</si>
  <si>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</si>
  <si>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</si>
  <si>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</si>
  <si>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</si>
  <si>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</si>
  <si>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</si>
  <si>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</si>
  <si>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</si>
  <si>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</si>
  <si>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</si>
  <si>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</si>
  <si>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</si>
  <si>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</si>
  <si>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</si>
  <si>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</si>
  <si>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</si>
  <si>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</si>
  <si>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</si>
  <si>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</si>
  <si>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</si>
  <si>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</si>
  <si>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</si>
  <si>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</si>
  <si>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</si>
  <si>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</si>
  <si>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</si>
  <si>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</si>
  <si>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</si>
  <si>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</si>
  <si>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</si>
  <si>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</si>
  <si>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</si>
  <si>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</si>
  <si>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</si>
  <si>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</si>
  <si>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</si>
  <si>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</si>
  <si>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</si>
  <si>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</si>
  <si>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</si>
  <si>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</si>
  <si>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</si>
  <si>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</si>
  <si>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</si>
  <si>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</si>
  <si>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</si>
  <si>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</si>
  <si>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</si>
  <si>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</si>
  <si>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</si>
  <si>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</si>
  <si>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</si>
  <si>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</si>
  <si>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</si>
  <si>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</si>
  <si>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</si>
  <si>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</si>
  <si>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</si>
  <si>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</si>
  <si>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</si>
  <si>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</si>
  <si>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</si>
  <si>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</si>
  <si>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</si>
  <si>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</si>
  <si>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</si>
  <si>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</si>
  <si>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</si>
  <si>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</si>
  <si>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</si>
  <si>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</si>
  <si>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</si>
  <si>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</si>
  <si>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</si>
  <si>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</si>
  <si>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</si>
  <si>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</si>
  <si>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</si>
  <si>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</si>
  <si>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</si>
  <si>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</si>
  <si>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</si>
  <si>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</si>
  <si>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</si>
  <si>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</si>
  <si>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</si>
  <si>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</si>
  <si>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</si>
  <si>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</si>
  <si>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</si>
  <si>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</si>
  <si>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</si>
  <si>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</si>
  <si>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</si>
  <si>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</si>
  <si>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</si>
  <si>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</si>
  <si>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</si>
  <si>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</si>
  <si>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</si>
  <si>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</si>
  <si>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</si>
  <si>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</si>
  <si>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</si>
  <si>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</si>
  <si>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</si>
  <si>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</si>
  <si>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</si>
  <si>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</si>
  <si>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</si>
  <si>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</si>
  <si>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</si>
  <si>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</si>
  <si>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</si>
  <si>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</si>
  <si>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</si>
  <si>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</si>
  <si>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</si>
  <si>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</si>
  <si>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</si>
  <si>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</si>
  <si>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</si>
  <si>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</si>
  <si>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</si>
  <si>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</si>
  <si>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</si>
  <si>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</si>
  <si>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</si>
  <si>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</si>
  <si>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</si>
  <si>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</si>
  <si>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</si>
  <si>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</si>
  <si>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</si>
  <si>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</si>
  <si>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</si>
  <si>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</si>
  <si>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</si>
  <si>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</si>
  <si>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</si>
  <si>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</si>
  <si>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</si>
  <si>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</si>
  <si>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</si>
  <si>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</si>
  <si>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</si>
  <si>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</si>
  <si>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</si>
  <si>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</si>
  <si>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</si>
  <si>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</si>
  <si>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</si>
  <si>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</si>
  <si>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</si>
  <si>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</si>
  <si>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</si>
  <si>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</si>
  <si>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</si>
  <si>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</si>
  <si>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</si>
  <si>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</si>
  <si>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</si>
  <si>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</si>
  <si>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</si>
  <si>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</si>
  <si>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</si>
  <si>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</si>
  <si>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</si>
  <si>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</si>
  <si>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</si>
  <si>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</si>
  <si>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</si>
  <si>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</si>
  <si>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</si>
  <si>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</si>
  <si>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</si>
  <si>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</si>
  <si>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</si>
  <si>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</si>
  <si>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</si>
  <si>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</si>
  <si>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</si>
  <si>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</si>
  <si>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</si>
  <si>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</si>
  <si>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</si>
  <si>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</si>
  <si>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</si>
  <si>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</si>
  <si>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</si>
  <si>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</si>
  <si>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</si>
  <si>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</si>
  <si>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</si>
  <si>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</si>
  <si>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</si>
  <si>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</si>
  <si>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</si>
  <si>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</si>
  <si>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</si>
  <si>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</si>
  <si>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</si>
  <si>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</si>
  <si>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</si>
  <si>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</si>
  <si>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</si>
  <si>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</si>
  <si>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</si>
  <si>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</si>
  <si>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</si>
  <si>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</si>
  <si>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</si>
  <si>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</si>
  <si>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</si>
  <si>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</si>
  <si>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</si>
  <si>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</si>
  <si>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</si>
  <si>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</si>
  <si>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</si>
  <si>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</si>
  <si>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</si>
  <si>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</si>
  <si>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</si>
  <si>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</si>
  <si>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</si>
  <si>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</si>
  <si>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</si>
  <si>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</si>
  <si>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</si>
  <si>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</si>
  <si>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</si>
  <si>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</si>
  <si>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</si>
  <si>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</si>
  <si>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</si>
  <si>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</si>
  <si>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</si>
  <si>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</si>
  <si>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</si>
  <si>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</si>
  <si>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</si>
  <si>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</si>
  <si>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</si>
  <si>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</si>
  <si>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</si>
  <si>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</si>
  <si>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</si>
  <si>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</si>
  <si>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</si>
  <si>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</si>
  <si>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</si>
  <si>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</si>
  <si>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</si>
  <si>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</si>
  <si>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</si>
  <si>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</si>
  <si>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</si>
  <si>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</si>
  <si>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</si>
  <si>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</si>
  <si>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</si>
  <si>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</si>
  <si>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</si>
  <si>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</si>
  <si>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</si>
  <si>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</si>
  <si>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</si>
  <si>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</si>
  <si>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</si>
  <si>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</si>
  <si>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</si>
  <si>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</si>
  <si>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</si>
  <si>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</si>
  <si>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</si>
  <si>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</si>
  <si>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</si>
  <si>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</si>
  <si>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</si>
  <si>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</si>
  <si>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</si>
  <si>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</si>
  <si>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</si>
  <si>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</si>
  <si>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</si>
  <si>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</si>
  <si>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</si>
  <si>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</si>
  <si>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</si>
  <si>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</si>
  <si>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</si>
  <si>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</si>
  <si>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</si>
  <si>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</si>
  <si>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</si>
  <si>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</si>
  <si>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</si>
  <si>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</si>
  <si>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</si>
  <si>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</si>
  <si>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</si>
  <si>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</si>
  <si>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</si>
  <si>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</si>
  <si>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</si>
  <si>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</si>
  <si>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</si>
  <si>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</si>
  <si>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</si>
  <si>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</si>
  <si>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</si>
  <si>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</si>
  <si>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</si>
  <si>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</si>
  <si>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</si>
  <si>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</si>
  <si>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</si>
  <si>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</si>
  <si>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</si>
  <si>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</si>
  <si>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</si>
  <si>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</si>
  <si>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</si>
  <si>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</si>
  <si>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</si>
  <si>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</si>
  <si>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</si>
  <si>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</si>
  <si>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</si>
  <si>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</si>
  <si>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</si>
  <si>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</si>
  <si>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</si>
  <si>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</si>
  <si>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</si>
  <si>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</si>
  <si>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</si>
  <si>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</si>
  <si>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</si>
  <si>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</si>
  <si>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</si>
  <si>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</si>
  <si>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</si>
  <si>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</si>
  <si>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</si>
  <si>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</si>
  <si>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</si>
  <si>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</si>
  <si>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</si>
  <si>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</si>
  <si>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</si>
  <si>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</si>
  <si>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</si>
  <si>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</si>
  <si>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</si>
  <si>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</si>
  <si>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</si>
  <si>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</si>
  <si>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</si>
  <si>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</si>
  <si>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</si>
  <si>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</si>
  <si>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</si>
  <si>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</si>
  <si>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</si>
  <si>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</si>
  <si>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</si>
  <si>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</si>
  <si>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</si>
  <si>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</si>
  <si>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</si>
  <si>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</si>
  <si>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</si>
  <si>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</si>
  <si>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</si>
  <si>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</si>
  <si>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</si>
  <si>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</si>
  <si>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</si>
  <si>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</si>
  <si>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</si>
  <si>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</si>
  <si>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</si>
  <si>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</si>
  <si>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</si>
  <si>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</si>
  <si>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</si>
  <si>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</si>
  <si>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</si>
  <si>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</si>
  <si>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</si>
  <si>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</si>
  <si>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</si>
  <si>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</si>
  <si>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</si>
  <si>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</si>
  <si>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</si>
  <si>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</si>
  <si>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</si>
  <si>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</si>
  <si>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</si>
  <si>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</si>
  <si>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</si>
  <si>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</si>
  <si>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</si>
  <si>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</si>
  <si>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</si>
  <si>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</si>
  <si>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</si>
  <si>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</si>
  <si>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</si>
  <si>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</si>
  <si>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</si>
  <si>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</si>
  <si>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</si>
  <si>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</si>
  <si>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</si>
  <si>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</si>
  <si>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</si>
  <si>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</si>
  <si>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</si>
  <si>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</si>
  <si>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</si>
  <si>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</si>
  <si>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</si>
  <si>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</si>
  <si>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</si>
  <si>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</si>
  <si>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</si>
  <si>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</si>
  <si>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</si>
  <si>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</si>
  <si>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</si>
  <si>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</si>
  <si>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</si>
  <si>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</si>
  <si>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</si>
  <si>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</si>
  <si>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</si>
  <si>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</si>
  <si>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</si>
  <si>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</si>
  <si>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</si>
  <si>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</si>
  <si>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</si>
  <si>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</si>
  <si>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</si>
  <si>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</si>
  <si>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</si>
  <si>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</si>
  <si>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</si>
  <si>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</si>
  <si>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</si>
  <si>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</si>
  <si>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</si>
  <si>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</si>
  <si>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</si>
  <si>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</si>
  <si>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</si>
  <si>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</si>
  <si>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</si>
  <si>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</si>
  <si>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</si>
  <si>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</si>
  <si>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</si>
  <si>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</si>
  <si>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</si>
  <si>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</si>
  <si>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</si>
  <si>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</si>
  <si>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</si>
  <si>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</si>
  <si>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</si>
  <si>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</si>
  <si>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</si>
  <si>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</si>
  <si>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</si>
  <si>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</si>
  <si>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</si>
  <si>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</si>
  <si>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</si>
  <si>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</si>
  <si>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</si>
  <si>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</si>
  <si>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</si>
  <si>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</si>
  <si>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</si>
  <si>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</si>
  <si>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</si>
  <si>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</si>
  <si>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</si>
  <si>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</si>
  <si>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</si>
  <si>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</si>
  <si>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</si>
  <si>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</si>
  <si>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</si>
  <si>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</si>
  <si>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</si>
  <si>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</si>
  <si>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</si>
  <si>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</si>
  <si>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</si>
  <si>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</si>
  <si>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</si>
  <si>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</si>
  <si>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</si>
  <si>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</si>
  <si>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</si>
  <si>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</si>
  <si>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</si>
  <si>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</si>
  <si>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</si>
  <si>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</si>
  <si>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</si>
  <si>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</si>
  <si>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</si>
  <si>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</si>
  <si>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</si>
  <si>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</si>
  <si>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</si>
  <si>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</si>
  <si>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</si>
  <si>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</si>
  <si>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</si>
  <si>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</si>
  <si>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</si>
  <si>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</si>
  <si>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</si>
  <si>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</si>
  <si>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</si>
  <si>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</si>
  <si>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</si>
  <si>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</si>
  <si>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</si>
  <si>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</si>
  <si>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</si>
  <si>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</si>
  <si>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</si>
  <si>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</si>
  <si>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</si>
  <si>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</si>
  <si>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</si>
  <si>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</si>
  <si>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</si>
  <si>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</si>
  <si>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</si>
  <si>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</si>
  <si>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</si>
  <si>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</si>
  <si>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</si>
  <si>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</si>
  <si>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</si>
  <si>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</si>
  <si>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</si>
  <si>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</si>
  <si>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</si>
  <si>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</si>
  <si>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</si>
  <si>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</si>
  <si>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</si>
  <si>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</si>
  <si>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</si>
  <si>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</si>
  <si>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</si>
  <si>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</si>
  <si>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</si>
  <si>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</si>
  <si>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</si>
  <si>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</si>
  <si>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</si>
  <si>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</si>
  <si>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</si>
  <si>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</si>
  <si>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</si>
  <si>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</si>
  <si>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</si>
  <si>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</si>
  <si>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</si>
  <si>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</si>
  <si>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</si>
  <si>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</si>
  <si>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</si>
  <si>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</si>
  <si>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</si>
  <si>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</si>
  <si>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</si>
  <si>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</si>
  <si>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</si>
  <si>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</si>
  <si>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</si>
  <si>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</si>
  <si>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</si>
  <si>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</si>
  <si>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</si>
  <si>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</si>
  <si>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</si>
  <si>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</si>
  <si>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</si>
  <si>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</si>
  <si>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</si>
  <si>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</si>
  <si>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</si>
  <si>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</si>
  <si>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</si>
  <si>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</si>
  <si>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</si>
  <si>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</si>
  <si>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</si>
  <si>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</si>
  <si>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</si>
  <si>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</si>
  <si>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</si>
  <si>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</si>
  <si>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</si>
  <si>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</si>
  <si>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</si>
  <si>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</si>
  <si>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</si>
  <si>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</si>
  <si>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</si>
  <si>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</si>
  <si>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</si>
  <si>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</si>
  <si>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</si>
  <si>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</si>
  <si>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</si>
  <si>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</si>
  <si>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</si>
  <si>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</si>
  <si>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</si>
  <si>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</si>
  <si>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</si>
  <si>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</si>
  <si>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</si>
  <si>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</si>
  <si>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</si>
  <si>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</si>
  <si>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</si>
  <si>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</si>
  <si>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</si>
  <si>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</si>
  <si>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</si>
  <si>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</si>
  <si>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</si>
  <si>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</si>
  <si>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</si>
  <si>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</si>
  <si>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</si>
  <si>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</si>
  <si>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</si>
  <si>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</si>
  <si>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</si>
  <si>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</si>
  <si>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</si>
  <si>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</si>
  <si>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</si>
  <si>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</si>
  <si>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</si>
  <si>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</si>
  <si>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</si>
  <si>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</si>
  <si>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</si>
  <si>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</si>
  <si>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</si>
  <si>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</si>
  <si>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</si>
  <si>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</si>
  <si>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</si>
  <si>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</si>
  <si>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</si>
  <si>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</si>
  <si>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</si>
  <si>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</si>
  <si>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</si>
  <si>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</si>
  <si>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</si>
  <si>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</si>
  <si>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</si>
  <si>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</si>
  <si>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</si>
  <si>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</si>
  <si>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</si>
  <si>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</si>
  <si>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</si>
  <si>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</si>
  <si>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</si>
  <si>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</si>
  <si>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</si>
  <si>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</si>
  <si>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</si>
  <si>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</si>
  <si>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</si>
  <si>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</si>
  <si>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</si>
  <si>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</si>
  <si>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</si>
  <si>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</si>
  <si>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</si>
  <si>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</si>
  <si>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</si>
  <si>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</si>
  <si>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</si>
  <si>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</si>
  <si>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</si>
  <si>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</si>
  <si>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</si>
  <si>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</si>
  <si>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</si>
  <si>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</si>
  <si>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</si>
  <si>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</si>
  <si>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</si>
  <si>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</si>
  <si>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</si>
  <si>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</si>
  <si>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</si>
  <si>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</si>
  <si>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</si>
  <si>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</si>
  <si>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</si>
  <si>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</si>
  <si>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</si>
  <si>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</si>
  <si>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</si>
  <si>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</si>
  <si>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</si>
  <si>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</si>
  <si>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</si>
  <si>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</si>
  <si>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</si>
  <si>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</si>
  <si>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</si>
  <si>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</si>
  <si>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</si>
  <si>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</si>
  <si>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</si>
  <si>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</si>
  <si>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</si>
  <si>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</si>
  <si>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</si>
  <si>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</si>
  <si>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</si>
  <si>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</si>
  <si>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</si>
  <si>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</si>
  <si>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</si>
  <si>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</si>
  <si>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</si>
  <si>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</si>
  <si>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</si>
  <si>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</si>
  <si>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</si>
  <si>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</si>
  <si>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</si>
  <si>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</si>
  <si>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</si>
  <si>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</si>
  <si>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</si>
  <si>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</si>
  <si>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</si>
  <si>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</si>
  <si>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</si>
  <si>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</si>
  <si>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</si>
  <si>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</si>
  <si>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</si>
  <si>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</si>
  <si>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</si>
  <si>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</si>
  <si>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</si>
  <si>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</si>
  <si>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</si>
  <si>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</si>
  <si>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</si>
  <si>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</si>
  <si>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</si>
  <si>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</si>
  <si>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</si>
  <si>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</si>
  <si>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</si>
  <si>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</si>
  <si>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</si>
  <si>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</si>
  <si>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</si>
  <si>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</si>
  <si>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</si>
  <si>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</si>
  <si>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</si>
  <si>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</si>
  <si>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</si>
  <si>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</si>
  <si>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</si>
  <si>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</si>
  <si>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</si>
  <si>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</si>
  <si>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</si>
  <si>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</si>
  <si>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</si>
  <si>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</si>
  <si>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</si>
  <si>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</si>
  <si>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</si>
  <si>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</si>
  <si>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</si>
  <si>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</si>
  <si>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</si>
  <si>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</si>
  <si>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</si>
  <si>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</si>
  <si>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</si>
  <si>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</si>
  <si>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</si>
  <si>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</si>
  <si>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</si>
  <si>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</si>
  <si>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</si>
  <si>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</si>
  <si>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</si>
  <si>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</si>
  <si>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</si>
  <si>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</si>
  <si>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</si>
  <si>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</si>
  <si>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</si>
  <si>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</si>
  <si>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</si>
  <si>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</si>
  <si>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</si>
  <si>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</si>
  <si>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</si>
  <si>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</si>
  <si>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</si>
  <si>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</si>
  <si>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</si>
  <si>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</si>
  <si>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</si>
  <si>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</si>
  <si>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</si>
  <si>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</si>
  <si>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</si>
  <si>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</si>
  <si>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</si>
  <si>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</si>
  <si>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</si>
  <si>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</si>
  <si>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</si>
  <si>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</si>
  <si>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</si>
  <si>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</si>
  <si>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</si>
  <si>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</si>
  <si>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</si>
  <si>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</si>
  <si>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</si>
  <si>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</si>
  <si>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</si>
  <si>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</si>
  <si>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</si>
  <si>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</si>
  <si>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</si>
  <si>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</si>
  <si>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</si>
  <si>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</si>
  <si>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</si>
  <si>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</si>
  <si>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</si>
  <si>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</si>
  <si>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</si>
  <si>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</si>
  <si>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</si>
  <si>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</si>
  <si>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</si>
  <si>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</si>
  <si>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</si>
  <si>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</si>
  <si>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</si>
  <si>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</si>
  <si>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</si>
  <si>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</si>
  <si>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</si>
  <si>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</si>
  <si>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</si>
  <si>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</si>
  <si>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</si>
  <si>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</si>
  <si>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</si>
  <si>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</si>
  <si>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</si>
  <si>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</si>
  <si>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</si>
  <si>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</si>
  <si>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</si>
  <si>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</si>
  <si>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</si>
  <si>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</si>
  <si>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</si>
  <si>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</si>
  <si>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</si>
  <si>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</si>
  <si>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</si>
  <si>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</si>
  <si>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</si>
  <si>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</si>
  <si>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</si>
  <si>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</si>
  <si>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</si>
  <si>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</si>
  <si>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</si>
  <si>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</si>
  <si>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</si>
  <si>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</si>
  <si>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</si>
  <si>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</si>
  <si>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</si>
  <si>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</si>
  <si>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</si>
  <si>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</si>
  <si>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</si>
  <si>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</si>
  <si>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</si>
  <si>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</si>
  <si>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</si>
  <si>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</si>
  <si>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</si>
  <si>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</si>
  <si>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</si>
  <si>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</si>
  <si>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</si>
  <si>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</si>
  <si>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</si>
  <si>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</si>
  <si>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</si>
  <si>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</si>
  <si>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</si>
  <si>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</si>
  <si>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</si>
  <si>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</si>
  <si>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</si>
  <si>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</si>
  <si>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</si>
  <si>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</si>
  <si>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</si>
  <si>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</si>
  <si>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</si>
  <si>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</si>
  <si>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</si>
  <si>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</si>
  <si>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</si>
  <si>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</si>
  <si>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</si>
  <si>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</si>
  <si>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</si>
  <si>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</si>
  <si>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</si>
  <si>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</si>
  <si>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</si>
  <si>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</si>
  <si>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</si>
  <si>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</si>
  <si>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</si>
  <si>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</si>
  <si>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</si>
  <si>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</si>
  <si>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</si>
  <si>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</si>
  <si>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</si>
  <si>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</si>
  <si>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</si>
  <si>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</si>
  <si>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</si>
  <si>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</si>
  <si>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</si>
  <si>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</si>
  <si>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</si>
  <si>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</si>
  <si>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</si>
  <si>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</si>
  <si>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</si>
  <si>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</si>
  <si>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</si>
  <si>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</si>
  <si>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</si>
  <si>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</si>
  <si>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</si>
  <si>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</si>
  <si>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</si>
  <si>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</si>
  <si>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</si>
  <si>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</si>
  <si>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</si>
  <si>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</si>
  <si>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</si>
  <si>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</si>
  <si>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</si>
  <si>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</si>
  <si>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</si>
  <si>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</si>
  <si>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</si>
  <si>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</si>
  <si>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</si>
  <si>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</si>
  <si>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</si>
  <si>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</si>
  <si>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</si>
  <si>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</si>
  <si>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</si>
  <si>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</si>
  <si>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</si>
  <si>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</si>
  <si>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</si>
  <si>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</si>
  <si>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</si>
  <si>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</si>
  <si>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</si>
  <si>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</si>
  <si>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</si>
  <si>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</si>
  <si>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</si>
  <si>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</si>
  <si>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</si>
  <si>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</si>
  <si>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</si>
  <si>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</si>
  <si>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</si>
  <si>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</si>
  <si>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</si>
  <si>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</si>
  <si>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</si>
  <si>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</si>
  <si>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</si>
  <si>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</si>
  <si>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</si>
  <si>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</si>
  <si>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</si>
  <si>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</si>
  <si>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</si>
  <si>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</si>
  <si>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</si>
  <si>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</si>
  <si>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</si>
  <si>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</si>
  <si>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</si>
  <si>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</si>
  <si>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</si>
  <si>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</si>
  <si>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</si>
  <si>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</si>
  <si>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</si>
  <si>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</si>
  <si>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</si>
  <si>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</si>
  <si>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</si>
  <si>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</si>
  <si>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</si>
  <si>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</si>
  <si>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</si>
  <si>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</si>
  <si>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</si>
  <si>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</si>
  <si>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</si>
  <si>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</si>
  <si>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</si>
  <si>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</si>
  <si>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</si>
  <si>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</si>
  <si>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</si>
  <si>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</si>
  <si>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</si>
  <si>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</si>
  <si>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</si>
  <si>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</si>
  <si>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</si>
  <si>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</si>
  <si>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</si>
  <si>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</si>
  <si>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</si>
  <si>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</si>
  <si>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</si>
  <si>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</si>
  <si>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</si>
  <si>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</si>
  <si>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</si>
  <si>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</si>
  <si>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</si>
  <si>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</si>
  <si>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</si>
  <si>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</si>
  <si>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</si>
  <si>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</si>
  <si>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</si>
  <si>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</si>
  <si>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</si>
  <si>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</si>
  <si>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</si>
  <si>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</si>
  <si>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</si>
  <si>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</si>
  <si>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</si>
  <si>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</si>
  <si>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</si>
  <si>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</si>
  <si>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</si>
  <si>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</si>
  <si>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</si>
  <si>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</si>
  <si>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</si>
  <si>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</si>
  <si>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</si>
  <si>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</si>
  <si>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</si>
  <si>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</si>
  <si>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</si>
  <si>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</si>
  <si>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</si>
  <si>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</si>
  <si>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</si>
  <si>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</si>
  <si>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</si>
  <si>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</si>
  <si>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</si>
  <si>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</si>
  <si>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</si>
  <si>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</si>
  <si>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</si>
  <si>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</si>
  <si>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</si>
  <si>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</si>
  <si>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</si>
  <si>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</si>
  <si>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</si>
  <si>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</si>
  <si>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</si>
  <si>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</si>
  <si>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</si>
  <si>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</si>
  <si>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</si>
  <si>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</si>
  <si>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</si>
  <si>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</si>
  <si>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</si>
  <si>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</si>
  <si>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</si>
  <si>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</si>
  <si>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</si>
  <si>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</si>
  <si>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</si>
  <si>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</si>
  <si>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</si>
  <si>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</si>
  <si>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</si>
  <si>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</si>
  <si>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</si>
  <si>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</si>
  <si>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</si>
  <si>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</si>
  <si>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</si>
  <si>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</si>
  <si>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</si>
  <si>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</si>
  <si>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</si>
  <si>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</si>
  <si>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</si>
  <si>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</si>
  <si>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</si>
  <si>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</si>
  <si>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</si>
  <si>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</si>
  <si>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</si>
  <si>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</si>
  <si>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</si>
  <si>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</si>
  <si>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</si>
  <si>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</si>
  <si>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</si>
  <si>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</si>
  <si>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</si>
  <si>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</si>
  <si>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</si>
  <si>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</si>
  <si>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</si>
  <si>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</si>
  <si>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</si>
  <si>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</si>
  <si>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</si>
  <si>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</si>
  <si>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</si>
  <si>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</si>
  <si>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</si>
  <si>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</si>
  <si>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</si>
  <si>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</si>
  <si>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</si>
  <si>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</si>
  <si>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</si>
  <si>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</si>
  <si>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</si>
  <si>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</si>
  <si>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</si>
  <si>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</si>
  <si>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</si>
  <si>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</si>
  <si>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</si>
  <si>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</si>
  <si>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</si>
  <si>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</si>
  <si>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</si>
  <si>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</si>
  <si>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</si>
  <si>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</si>
  <si>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</si>
  <si>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</si>
  <si>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</si>
  <si>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</si>
  <si>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</si>
  <si>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</si>
  <si>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</si>
  <si>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</si>
  <si>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</si>
  <si>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</si>
  <si>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</si>
  <si>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</si>
  <si>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</si>
  <si>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</si>
  <si>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</si>
  <si>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</si>
  <si>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</si>
  <si>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</si>
  <si>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</si>
  <si>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</si>
  <si>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</si>
  <si>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</si>
  <si>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</si>
  <si>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</si>
  <si>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</si>
  <si>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</si>
  <si>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</si>
  <si>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</si>
  <si>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</si>
  <si>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</si>
  <si>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</si>
  <si>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</si>
  <si>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</si>
  <si>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</si>
  <si>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</si>
  <si>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</si>
  <si>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</si>
  <si>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</si>
  <si>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</si>
  <si>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</si>
  <si>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</si>
  <si>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</si>
  <si>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</si>
  <si>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</si>
  <si>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</si>
  <si>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</si>
  <si>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</si>
  <si>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</si>
  <si>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</si>
  <si>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</si>
  <si>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</si>
  <si>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</si>
  <si>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</si>
  <si>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</si>
  <si>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</si>
  <si>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</si>
  <si>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</si>
  <si>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</si>
  <si>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</si>
  <si>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</si>
  <si>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</si>
  <si>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</si>
  <si>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</si>
  <si>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</si>
  <si>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</si>
  <si>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</si>
  <si>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</si>
  <si>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</si>
  <si>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</si>
  <si>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</si>
  <si>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</si>
  <si>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</si>
  <si>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</si>
  <si>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</si>
  <si>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</si>
  <si>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</si>
  <si>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</si>
  <si>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</si>
  <si>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</si>
  <si>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</si>
  <si>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</si>
  <si>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</si>
  <si>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</si>
  <si>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</si>
  <si>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</si>
  <si>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</si>
  <si>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</si>
  <si>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</si>
  <si>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</si>
  <si>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</si>
  <si>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</si>
  <si>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</si>
  <si>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</si>
  <si>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</si>
  <si>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</si>
  <si>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</si>
  <si>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</si>
  <si>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</si>
  <si>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</si>
  <si>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</si>
  <si>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</si>
  <si>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</si>
  <si>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</si>
  <si>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</si>
  <si>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</si>
  <si>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</si>
  <si>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</si>
  <si>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</si>
  <si>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</si>
  <si>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</si>
  <si>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</si>
  <si>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</si>
  <si>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</si>
  <si>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</si>
  <si>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</si>
  <si>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</si>
  <si>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</si>
  <si>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</si>
  <si>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</si>
  <si>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</si>
  <si>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</si>
  <si>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</si>
  <si>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</si>
  <si>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</si>
  <si>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</si>
  <si>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</si>
  <si>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</si>
  <si>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</si>
  <si>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</si>
  <si>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</si>
  <si>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</si>
  <si>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</si>
  <si>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</si>
  <si>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</si>
  <si>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</si>
  <si>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</si>
  <si>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</si>
  <si>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</si>
  <si>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</si>
  <si>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</si>
  <si>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</si>
  <si>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</si>
  <si>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</si>
  <si>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</si>
  <si>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</si>
  <si>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</si>
  <si>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</si>
  <si>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</si>
  <si>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</si>
  <si>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</si>
  <si>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</si>
  <si>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</si>
  <si>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</si>
  <si>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</si>
  <si>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</si>
  <si>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</si>
  <si>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</si>
  <si>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</si>
  <si>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</si>
  <si>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</si>
  <si>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</si>
  <si>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</si>
  <si>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</si>
  <si>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</si>
  <si>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</si>
  <si>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</si>
  <si>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</si>
  <si>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</si>
  <si>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</si>
  <si>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</si>
  <si>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</si>
  <si>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</si>
  <si>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</si>
  <si>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</si>
  <si>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</si>
  <si>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</si>
  <si>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</si>
  <si>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</si>
  <si>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</si>
  <si>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</si>
  <si>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</si>
  <si>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</si>
  <si>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</si>
  <si>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</si>
  <si>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</si>
  <si>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</si>
  <si>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</si>
  <si>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</si>
  <si>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</si>
  <si>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</si>
  <si>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</si>
  <si>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</si>
  <si>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</si>
  <si>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</si>
  <si>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</si>
  <si>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</si>
  <si>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</si>
  <si>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</si>
  <si>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</si>
  <si>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</si>
  <si>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</si>
  <si>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</si>
  <si>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</si>
  <si>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</si>
  <si>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</si>
  <si>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</si>
  <si>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</si>
  <si>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</si>
  <si>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</si>
  <si>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</si>
  <si>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</si>
  <si>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</si>
  <si>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</si>
  <si>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</si>
  <si>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</si>
  <si>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</si>
  <si>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</si>
  <si>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</si>
  <si>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</si>
  <si>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</si>
  <si>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</si>
  <si>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</si>
  <si>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</si>
  <si>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</si>
  <si>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</si>
  <si>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</si>
  <si>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</si>
  <si>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</si>
  <si>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</si>
  <si>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</si>
  <si>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</si>
  <si>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</si>
  <si>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</si>
  <si>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</si>
  <si>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</si>
  <si>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</si>
  <si>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</si>
  <si>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</si>
  <si>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</si>
  <si>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</si>
  <si>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</si>
  <si>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</si>
  <si>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</si>
  <si>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</si>
  <si>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</si>
  <si>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</si>
  <si>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</si>
  <si>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</si>
  <si>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</si>
  <si>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</si>
  <si>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</si>
  <si>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</si>
  <si>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</si>
  <si>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</si>
  <si>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</si>
  <si>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</si>
  <si>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</si>
  <si>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</si>
  <si>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</si>
  <si>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</si>
  <si>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</si>
  <si>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</si>
  <si>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</si>
  <si>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</si>
  <si>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</si>
  <si>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</si>
  <si>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</si>
  <si>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</si>
  <si>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</si>
  <si>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</si>
  <si>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</si>
  <si>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</si>
  <si>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</si>
  <si>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</si>
  <si>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</si>
  <si>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</si>
  <si>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</si>
  <si>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</si>
  <si>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</si>
  <si>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</si>
  <si>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</si>
  <si>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</si>
  <si>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</si>
  <si>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</si>
  <si>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</si>
  <si>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</si>
  <si>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</si>
  <si>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</si>
  <si>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</si>
  <si>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</si>
  <si>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</si>
  <si>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</si>
  <si>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</si>
  <si>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</si>
  <si>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</si>
  <si>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</si>
  <si>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</si>
  <si>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</si>
  <si>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</si>
  <si>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</si>
  <si>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</si>
  <si>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</si>
  <si>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</si>
  <si>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</si>
  <si>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</si>
  <si>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</si>
  <si>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</si>
  <si>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</si>
  <si>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</si>
  <si>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</si>
  <si>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</si>
  <si>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</si>
  <si>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</si>
  <si>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</si>
  <si>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</si>
  <si>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</si>
  <si>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</si>
  <si>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</si>
  <si>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</si>
  <si>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</si>
  <si>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</si>
  <si>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</si>
  <si>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</si>
  <si>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</si>
  <si>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</si>
  <si>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</si>
  <si>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</si>
  <si>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</si>
  <si>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</si>
  <si>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</si>
  <si>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</si>
  <si>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</si>
  <si>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</si>
  <si>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</si>
  <si>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</si>
  <si>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</si>
  <si>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</si>
  <si>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</si>
  <si>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</si>
  <si>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</si>
  <si>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</si>
  <si>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</si>
  <si>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</si>
  <si>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</si>
  <si>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</si>
  <si>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</si>
  <si>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</si>
  <si>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</si>
  <si>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</si>
  <si>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</si>
  <si>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</si>
  <si>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</si>
  <si>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</si>
  <si>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</si>
  <si>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</si>
  <si>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</si>
  <si>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</si>
  <si>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</si>
  <si>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</si>
  <si>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</si>
  <si>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</si>
  <si>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</si>
  <si>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</si>
  <si>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</si>
  <si>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</si>
  <si>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</si>
  <si>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</si>
  <si>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</si>
  <si>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</si>
  <si>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</si>
  <si>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</si>
  <si>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</si>
  <si>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</si>
  <si>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</si>
  <si>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</si>
  <si>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</si>
  <si>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</si>
  <si>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</si>
  <si>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</si>
  <si>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</si>
  <si>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</si>
  <si>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</si>
  <si>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</si>
  <si>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</si>
  <si>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</si>
  <si>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</si>
  <si>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</si>
  <si>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</si>
  <si>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</si>
  <si>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</si>
  <si>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</si>
  <si>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</si>
  <si>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</si>
  <si>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</si>
  <si>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</si>
  <si>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</si>
  <si>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</si>
  <si>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</si>
  <si>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</si>
  <si>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</si>
  <si>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</si>
  <si>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</si>
  <si>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</si>
  <si>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</si>
  <si>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</si>
  <si>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</si>
  <si>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</si>
  <si>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</si>
  <si>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</si>
  <si>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</si>
  <si>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</si>
  <si>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</si>
  <si>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</si>
  <si>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</si>
  <si>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</si>
  <si>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</si>
  <si>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</si>
  <si>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</si>
  <si>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</si>
  <si>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</si>
  <si>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</si>
  <si>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</si>
  <si>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</si>
  <si>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</si>
  <si>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</si>
  <si>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</si>
  <si>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</si>
  <si>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</si>
  <si>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</si>
  <si>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</si>
  <si>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</si>
  <si>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</si>
  <si>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</si>
  <si>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</si>
  <si>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</si>
  <si>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</si>
  <si>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</si>
  <si>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</si>
  <si>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</si>
  <si>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</si>
  <si>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</si>
  <si>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</si>
  <si>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</si>
  <si>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</si>
  <si>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</si>
  <si>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</si>
  <si>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</si>
  <si>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</si>
  <si>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</si>
  <si>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</si>
  <si>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</si>
  <si>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</si>
  <si>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</si>
  <si>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</si>
  <si>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</si>
  <si>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</si>
  <si>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</si>
  <si>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</si>
  <si>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</si>
  <si>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</si>
  <si>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</si>
  <si>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</si>
  <si>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</si>
  <si>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</si>
  <si>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</si>
  <si>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</si>
  <si>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</si>
  <si>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</si>
  <si>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</si>
  <si>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</si>
  <si>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</si>
  <si>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</si>
  <si>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</si>
  <si>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</si>
  <si>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</si>
  <si>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</si>
  <si>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</si>
  <si>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</si>
  <si>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</si>
  <si>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</si>
  <si>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</si>
  <si>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</si>
  <si>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</si>
  <si>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</si>
  <si>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</si>
  <si>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</si>
  <si>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</si>
  <si>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</si>
  <si>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</si>
  <si>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</si>
  <si>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</si>
  <si>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</si>
  <si>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</si>
  <si>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</si>
  <si>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</si>
  <si>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</si>
  <si>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</si>
  <si>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</si>
  <si>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</si>
  <si>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</si>
  <si>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</si>
  <si>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</si>
  <si>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</si>
  <si>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</si>
  <si>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</si>
  <si>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</si>
  <si>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</si>
  <si>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</si>
  <si>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</si>
  <si>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</si>
  <si>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</si>
  <si>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</si>
  <si>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</si>
  <si>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</si>
  <si>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</si>
  <si>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</si>
  <si>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</si>
  <si>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</si>
  <si>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</si>
  <si>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</si>
  <si>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</si>
  <si>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</si>
  <si>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</si>
  <si>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</si>
  <si>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</si>
  <si>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</si>
  <si>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</si>
  <si>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</si>
  <si>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</si>
  <si>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</si>
  <si>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</si>
  <si>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</si>
  <si>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</si>
  <si>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</si>
  <si>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</si>
  <si>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</si>
  <si>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</si>
  <si>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</si>
  <si>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</si>
  <si>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</si>
  <si>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</si>
  <si>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</si>
  <si>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</si>
  <si>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</si>
  <si>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</si>
  <si>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</si>
  <si>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</si>
  <si>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</si>
  <si>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</si>
  <si>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</si>
  <si>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</si>
  <si>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</si>
  <si>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</si>
  <si>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</si>
  <si>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</si>
  <si>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</si>
  <si>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</si>
  <si>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</si>
  <si>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</si>
  <si>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</si>
  <si>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</si>
  <si>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</si>
  <si>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</si>
  <si>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</si>
  <si>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</si>
  <si>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</si>
  <si>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</si>
  <si>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</si>
  <si>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</si>
  <si>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</si>
  <si>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</si>
  <si>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</si>
  <si>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</si>
  <si>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</si>
  <si>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</si>
  <si>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</si>
  <si>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</si>
  <si>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</si>
  <si>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</si>
  <si>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</si>
  <si>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</si>
  <si>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</si>
  <si>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</si>
  <si>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</si>
  <si>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</si>
  <si>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</si>
  <si>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</si>
  <si>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</si>
  <si>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</si>
  <si>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</si>
  <si>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</si>
  <si>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</si>
  <si>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</si>
  <si>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</si>
  <si>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</si>
  <si>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</si>
  <si>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</si>
  <si>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</si>
  <si>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</si>
  <si>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</si>
  <si>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</si>
  <si>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</si>
  <si>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</si>
  <si>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</si>
  <si>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</si>
  <si>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</si>
  <si>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</si>
  <si>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</si>
  <si>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</si>
  <si>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</si>
  <si>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</si>
  <si>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</si>
  <si>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</si>
  <si>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</si>
  <si>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</si>
  <si>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</si>
  <si>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</si>
  <si>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</si>
  <si>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</si>
  <si>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</si>
  <si>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</si>
  <si>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</si>
  <si>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</si>
  <si>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</si>
  <si>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</si>
  <si>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</si>
  <si>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</si>
  <si>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</si>
  <si>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</si>
  <si>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</si>
  <si>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</si>
  <si>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</si>
  <si>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</si>
  <si>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</si>
  <si>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</si>
  <si>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</si>
  <si>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</si>
  <si>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</si>
  <si>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</si>
  <si>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</si>
  <si>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</si>
  <si>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</si>
  <si>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</si>
  <si>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</si>
  <si>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</si>
  <si>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</si>
  <si>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</si>
  <si>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</si>
  <si>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</si>
  <si>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</si>
  <si>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</si>
  <si>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</si>
  <si>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</si>
  <si>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</si>
  <si>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</si>
  <si>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</si>
  <si>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</si>
  <si>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</si>
  <si>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</si>
  <si>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</si>
  <si>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</si>
  <si>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</si>
  <si>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</si>
  <si>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</si>
  <si>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</si>
  <si>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</si>
  <si>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</si>
  <si>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</si>
  <si>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</si>
  <si>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</si>
  <si>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</si>
  <si>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</si>
  <si>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</si>
  <si>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</si>
  <si>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</si>
  <si>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</si>
  <si>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</si>
  <si>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</si>
  <si>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</si>
  <si>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</si>
  <si>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</si>
  <si>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</si>
  <si>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</si>
  <si>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</si>
  <si>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</si>
  <si>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</si>
  <si>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</si>
  <si>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</si>
  <si>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</si>
  <si>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</si>
  <si>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</si>
  <si>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</si>
  <si>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</si>
  <si>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</si>
  <si>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</si>
  <si>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</si>
  <si>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</si>
  <si>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</si>
  <si>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</si>
  <si>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</si>
  <si>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</si>
  <si>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</si>
  <si>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</si>
  <si>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</si>
  <si>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</si>
  <si>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</si>
  <si>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</si>
  <si>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</si>
  <si>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</si>
  <si>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</si>
  <si>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</si>
  <si>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</si>
  <si>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</si>
  <si>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</si>
  <si>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</si>
  <si>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</si>
  <si>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</si>
  <si>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</si>
  <si>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</si>
  <si>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</si>
  <si>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</si>
  <si>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</si>
  <si>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</si>
  <si>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</si>
  <si>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</si>
  <si>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</si>
  <si>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</si>
  <si>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</si>
  <si>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</si>
  <si>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</si>
  <si>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</si>
  <si>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</si>
  <si>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</si>
  <si>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</si>
  <si>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</si>
  <si>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</si>
  <si>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</si>
  <si>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</si>
  <si>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</si>
  <si>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</si>
  <si>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</si>
  <si>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</si>
  <si>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</si>
  <si>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</si>
  <si>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</si>
  <si>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</si>
  <si>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</si>
  <si>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</si>
  <si>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</si>
  <si>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</si>
  <si>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</si>
  <si>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</si>
  <si>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</si>
  <si>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</si>
  <si>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</si>
  <si>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</si>
  <si>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</si>
  <si>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</si>
  <si>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</si>
  <si>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</si>
  <si>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</si>
  <si>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</si>
  <si>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</si>
  <si>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</si>
  <si>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</si>
  <si>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</si>
  <si>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</si>
  <si>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</si>
  <si>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</si>
  <si>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</si>
  <si>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</si>
  <si>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</si>
  <si>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</si>
  <si>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</si>
  <si>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</si>
  <si>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</si>
  <si>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</si>
  <si>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</si>
  <si>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</si>
  <si>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</si>
  <si>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</si>
  <si>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</si>
  <si>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</si>
  <si>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</si>
  <si>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其他：</t>
  </si>
  <si>
    <t>企业</t>
  </si>
  <si>
    <t>出让</t>
  </si>
  <si>
    <t>地上</t>
  </si>
  <si>
    <t>地下</t>
  </si>
  <si>
    <t>是</t>
  </si>
  <si>
    <t>成新度</t>
  </si>
  <si>
    <t>房号</t>
    <phoneticPr fontId="143" type="noConversion"/>
  </si>
  <si>
    <t>建面</t>
    <phoneticPr fontId="143" type="noConversion"/>
  </si>
  <si>
    <t>土面</t>
    <phoneticPr fontId="143" type="noConversion"/>
  </si>
  <si>
    <t>其余</t>
    <phoneticPr fontId="7" type="noConversion"/>
  </si>
  <si>
    <t>收益法</t>
  </si>
  <si>
    <t>押一</t>
  </si>
  <si>
    <t>钢混</t>
  </si>
  <si>
    <t>非生产用房</t>
  </si>
  <si>
    <t>否</t>
  </si>
  <si>
    <t>按租金收入计税</t>
  </si>
  <si>
    <t>海港城</t>
    <phoneticPr fontId="3" type="noConversion"/>
  </si>
  <si>
    <t>银泰城</t>
    <phoneticPr fontId="3" type="noConversion"/>
  </si>
  <si>
    <t>正常</t>
  </si>
  <si>
    <t>商业</t>
    <phoneticPr fontId="31" type="noConversion"/>
  </si>
  <si>
    <t>30-40（含）</t>
  </si>
  <si>
    <t>较好</t>
  </si>
  <si>
    <t>一般</t>
  </si>
  <si>
    <t>六通</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</si>
  <si>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</si>
  <si>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</si>
  <si>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</si>
  <si>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</si>
  <si>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</si>
  <si>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</si>
  <si>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</si>
  <si>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</si>
  <si>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phoneticPr fontId="31" type="noConversion"/>
  </si>
  <si>
    <t>一般</t>
    <phoneticPr fontId="31" type="noConversion"/>
  </si>
  <si>
    <t>商业综合体</t>
  </si>
  <si>
    <t>商业综合体</t>
    <phoneticPr fontId="31" type="noConversion"/>
  </si>
  <si>
    <t>社区底商</t>
  </si>
  <si>
    <t>社区底商</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</si>
  <si>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</si>
  <si>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</si>
  <si>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</si>
  <si>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</si>
  <si>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</si>
  <si>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</si>
  <si>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</si>
  <si>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</si>
  <si>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</si>
  <si>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</si>
  <si>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</si>
  <si>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</si>
  <si>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</si>
  <si>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</si>
  <si>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</si>
  <si>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</si>
  <si>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毛坯</t>
    <phoneticPr fontId="31" type="noConversion"/>
  </si>
  <si>
    <t>售价</t>
  </si>
  <si>
    <t>好</t>
    <phoneticPr fontId="31" type="noConversion"/>
  </si>
  <si>
    <t>荣安琴湾</t>
    <phoneticPr fontId="3" type="noConversion"/>
  </si>
  <si>
    <t>比较法-商业</t>
  </si>
  <si>
    <t>1-3</t>
  </si>
  <si>
    <t>1-3</t>
    <phoneticPr fontId="25" type="noConversion"/>
  </si>
  <si>
    <t>美的</t>
    <phoneticPr fontId="3" type="noConversion"/>
  </si>
  <si>
    <t>毛坯</t>
  </si>
  <si>
    <t>序号</t>
  </si>
  <si>
    <t>业态</t>
  </si>
  <si>
    <t>房号</t>
  </si>
  <si>
    <t>门牌号</t>
  </si>
  <si>
    <t>实测面积</t>
  </si>
  <si>
    <t>土地面积</t>
  </si>
  <si>
    <t>房产证编号</t>
  </si>
  <si>
    <t>商铺</t>
  </si>
  <si>
    <t>博大路189号1005室</t>
  </si>
  <si>
    <t>浙（2018）宁波市鄞州不动产权第0096498号</t>
  </si>
  <si>
    <t>天童南路2351、2353号</t>
  </si>
  <si>
    <t>浙（2018）宁波市鄞州不动产权第0096407号</t>
  </si>
  <si>
    <t>天童南路2355号</t>
  </si>
  <si>
    <t>浙（2018）宁波市鄞州不动产权第0096403号</t>
  </si>
  <si>
    <t>天童南路2371号</t>
  </si>
  <si>
    <t>浙（2018）宁波市鄞州不动产权第0096477号</t>
  </si>
  <si>
    <t>博大路163、175、205、209号，天童南路2365、2377号</t>
  </si>
  <si>
    <t>浙（2017）宁波市鄞州不动产权第0003133号</t>
  </si>
  <si>
    <t>浙（2017）宁波市鄞州不动产权第0003102号</t>
  </si>
  <si>
    <t>浙（2017）宁波市鄞州不动产权第0005534号</t>
  </si>
  <si>
    <t>博大路103、111、139、155、161号</t>
  </si>
  <si>
    <t>浙（2017）宁波市鄞州不动产权第0002249号</t>
  </si>
  <si>
    <t>浙（2017）宁波市鄞州不动产权第0003152号</t>
  </si>
  <si>
    <t>博大路105号</t>
  </si>
  <si>
    <t>浙（2017）宁波市鄞州不动产权第0004136号</t>
  </si>
  <si>
    <t>浙（2017）宁波市鄞州不动产权第0005560号</t>
  </si>
  <si>
    <t>浙（2017）宁波市鄞州不动产权第0003099号</t>
  </si>
  <si>
    <t>浙（2017）宁波市鄞州不动产权第0004139号</t>
  </si>
  <si>
    <t>浙（2017）宁波市鄞州不动产权第0002233号</t>
  </si>
  <si>
    <t>浙（2017）宁波市鄞州不动产权第0002240号</t>
  </si>
  <si>
    <t>浙（2017）宁波市鄞州不动产权第0004157号</t>
  </si>
  <si>
    <t>博大路101、155、161、175号，天童南路2381弄73号</t>
  </si>
  <si>
    <t>浙（2017）宁波市鄞州不动产权第0005592号</t>
  </si>
  <si>
    <t>博大路163、175、205、209号，天童南路2357、2365、2377号，天童南路2381弄41号</t>
  </si>
  <si>
    <t>浙（2017）宁波市鄞州不动产权第0005598号</t>
  </si>
  <si>
    <t>浙（2017）宁波市鄞州不动产权第0003175号</t>
  </si>
  <si>
    <t>浙（2017）宁波市鄞州不动产权第0003049号</t>
  </si>
  <si>
    <t>浙（2017）宁波市鄞州不动产权第0002989号</t>
  </si>
  <si>
    <t>浙（2017）宁波市鄞州不动产权第0004118号</t>
  </si>
  <si>
    <t>浙（2017）宁波市鄞州不动产权第0004162号</t>
  </si>
  <si>
    <t>浙（2017）宁波市鄞州不动产权第0004111号</t>
  </si>
  <si>
    <t>浙（2017）宁波市鄞州不动产权第0003120号</t>
  </si>
  <si>
    <t>浙（2017）宁波市鄞州不动产权第0005591号</t>
  </si>
  <si>
    <t>浙（2017）宁波市鄞州不动产权第0005532号</t>
  </si>
  <si>
    <t>浙（2017）宁波市鄞州不动产权第0003191号</t>
  </si>
  <si>
    <t>浙（2017）宁波市鄞州不动产权第0005595号</t>
  </si>
  <si>
    <t>浙（2017）宁波市鄞州不动产权第0004120号</t>
  </si>
  <si>
    <t>浙（2017）宁波市鄞州不动产权第0004119号</t>
  </si>
  <si>
    <t>浙（2017）宁波市鄞州不动产权第0004146号</t>
  </si>
  <si>
    <t>浙（2017）宁波市鄞州不动产权第0004127号</t>
  </si>
  <si>
    <t>浙（2017）宁波市鄞州不动产权第0005538号</t>
  </si>
  <si>
    <t>浙（2017）宁波市鄞州不动产权第0004152号</t>
  </si>
  <si>
    <t>博大路155、175号</t>
  </si>
  <si>
    <t>浙（2017）宁波市鄞州不动产权第0004123号</t>
  </si>
  <si>
    <t>博大路101、155、163、175、205、209号，天童南路2357、2365、2377号，天童南路2381弄41号</t>
  </si>
  <si>
    <t>浙（2017）宁波市鄞州不动产权第0003121号</t>
  </si>
  <si>
    <t>浙（2017）宁波市鄞州不动产权第0002220号</t>
  </si>
  <si>
    <t>浙（2017）宁波市鄞州不动产权第0003137号</t>
  </si>
  <si>
    <t>浙（2017）宁波市鄞州不动产权第0003138号</t>
  </si>
  <si>
    <t>浙（2017）宁波市鄞州不动产权第0002234号</t>
  </si>
  <si>
    <t>浙（2017）宁波市鄞州不动产权第0004131号</t>
  </si>
  <si>
    <t>浙（2017）宁波市鄞州不动产权第0005558号</t>
  </si>
  <si>
    <t>浙（2017）宁波市鄞州不动产权第0004154号</t>
  </si>
  <si>
    <t>浙（2017）宁波市鄞州不动产权第0003165号</t>
  </si>
  <si>
    <t>浙（2017）宁波市鄞州不动产权第0002226号</t>
  </si>
  <si>
    <t>浙（2017）宁波市鄞州不动产权第0002221号</t>
  </si>
  <si>
    <t>浙（2017）宁波市鄞州不动产权第0005299号</t>
  </si>
  <si>
    <t>浙（2017）宁波市鄞州不动产权第0005544号</t>
  </si>
  <si>
    <t>浙（2017）宁波市鄞州不动产权第0005530号</t>
  </si>
  <si>
    <t>浙（2017）宁波市鄞州不动产权第0005476号</t>
  </si>
  <si>
    <t>浙（2017）宁波市鄞州不动产权第0002236号</t>
  </si>
  <si>
    <t>浙（2017）宁波市鄞州不动产权第0003078号</t>
  </si>
  <si>
    <t>浙（2017）宁波市鄞州不动产权第0003056号</t>
  </si>
  <si>
    <t>浙（2017）宁波市鄞州不动产权第0003178号</t>
  </si>
  <si>
    <t>浙（2017）宁波市鄞州不动产权第0005587号</t>
  </si>
  <si>
    <t>浙（2017）宁波市鄞州不动产权第0003139号</t>
  </si>
  <si>
    <t>浙（2017）宁波市鄞州不动产权第0004147号</t>
  </si>
  <si>
    <t>浙（2017）宁波市鄞州不动产权第0002241号</t>
  </si>
  <si>
    <t>浙（2017）宁波市鄞州不动产权第0005478号</t>
  </si>
  <si>
    <t>博大路155、163、175、205、209号，天童南路2357、2365、2377号，天童南路2381弄41号</t>
  </si>
  <si>
    <t>浙（2017）宁波市鄞州不动产权第0003129号</t>
  </si>
  <si>
    <t>浙（2017）宁波市鄞州不动产权第0005600号</t>
  </si>
  <si>
    <t>浙（2017）宁波市鄞州不动产权第0003258号</t>
  </si>
  <si>
    <t>浙（2017）宁波市鄞州不动产权第0002229号</t>
  </si>
  <si>
    <t>浙（2017）宁波市鄞州不动产权第0003057号</t>
  </si>
  <si>
    <t>浙（2017）宁波市鄞州不动产权第0004138号</t>
  </si>
  <si>
    <t>浙（2017）宁波市鄞州不动产权第0005552号</t>
  </si>
  <si>
    <t>博大路159号-1001室</t>
  </si>
  <si>
    <t>浙（2017）宁波市鄞州不动产权第0003038号</t>
  </si>
  <si>
    <t>博大路159号-1002室</t>
  </si>
  <si>
    <t>浙（2017）宁波市鄞州不动产权第0005586号</t>
  </si>
  <si>
    <t>博大路159号-1003室</t>
  </si>
  <si>
    <t>浙（2017）宁波市鄞州不动产权第0003080号</t>
  </si>
  <si>
    <t>博大路159号-1004室</t>
  </si>
  <si>
    <t>浙（2017）宁波市鄞州不动产权第0005471号</t>
  </si>
  <si>
    <t>商铺小计</t>
  </si>
  <si>
    <t>公寓</t>
  </si>
  <si>
    <t>天童南路2357号</t>
  </si>
  <si>
    <t>浙（2018）宁波市鄞州不动产权第96500</t>
  </si>
  <si>
    <t>浙（2017）宁波市鄞州不动产权第0004151号</t>
  </si>
  <si>
    <t>公寓小计</t>
  </si>
  <si>
    <t>收益比率</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</si>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</sst>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3"/>
      <charset val="134"/>
    </font>
    <font>
      <sz val="10"/>
      <color rgb="FF000000"/>
      <name val="新宋体"/>
      <family val="3"/>
      <charset val="134"/>
    </font>
    <font>
      <sz val="9"/>
      <color rgb="FF000000"/>
      <name val="新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76" fontId="50" fillId="5" borderId="1" xfId="0" applyNumberFormat="1"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 fontId="0" fillId="0" borderId="0" xfId="0" applyNumberFormat="1">
      <alignment vertical="center"/>
    </xf>
    <xf numFmtId="0" fontId="255" fillId="0" borderId="0" xfId="0" applyFont="1" applyBorder="1">
      <alignment vertical="center"/>
    </xf>
    <xf numFmtId="0" fontId="255" fillId="0" borderId="0" xfId="0" applyFont="1" applyBorder="1" applyAlignment="1">
      <alignment horizontal="center" vertical="center"/>
    </xf>
    <xf numFmtId="0" fontId="255" fillId="0" borderId="0" xfId="0" applyFont="1" applyBorder="1" applyAlignment="1">
      <alignment horizontal="center" vertical="center" wrapText="1"/>
    </xf>
    <xf numFmtId="0" fontId="256" fillId="0" borderId="0" xfId="0" applyFont="1" applyBorder="1" applyAlignment="1">
      <alignment horizontal="center" vertical="center" wrapText="1"/>
    </xf>
    <xf numFmtId="0" fontId="256" fillId="0" borderId="0" xfId="0" applyFont="1" applyBorder="1" applyAlignment="1">
      <alignment vertical="center" wrapText="1"/>
    </xf>
    <xf numFmtId="4" fontId="256" fillId="0" borderId="0" xfId="0" applyNumberFormat="1" applyFont="1" applyBorder="1" applyAlignment="1">
      <alignment horizontal="center" vertical="center" wrapText="1"/>
    </xf>
    <xf numFmtId="0" fontId="254" fillId="0" borderId="0" xfId="0" applyFont="1" applyBorder="1" applyAlignment="1">
      <alignment vertical="center" wrapText="1"/>
    </xf>
    <xf numFmtId="0" fontId="254" fillId="0" borderId="0" xfId="0" applyFont="1" applyBorder="1" applyAlignment="1">
      <alignment horizontal="center" vertical="center" wrapText="1"/>
    </xf>
    <xf numFmtId="4" fontId="254" fillId="0" borderId="0" xfId="0" applyNumberFormat="1"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17" borderId="53" xfId="0" applyNumberFormat="1" applyFont="1" applyFill="1" applyBorder="1" applyAlignment="1" applyProtection="1">
      <alignment horizontal="center" vertical="center" wrapText="1"/>
    </xf>
    <xf numFmtId="0" fontId="47" fillId="17" borderId="28" xfId="0" applyFont="1" applyFill="1" applyBorder="1" applyAlignment="1" applyProtection="1">
      <alignment horizontal="center" vertical="center" wrapText="1"/>
    </xf>
    <xf numFmtId="49" fontId="54" fillId="17" borderId="23"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47" fillId="17" borderId="1" xfId="0" applyFont="1" applyFill="1" applyBorder="1" applyAlignment="1" applyProtection="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12</xdr:col>
      <xdr:colOff>314682</xdr:colOff>
      <xdr:row>18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23825"/>
          <a:ext cx="7858482" cy="3009900"/>
        </a:xfrm>
        <a:prstGeom prst="rect">
          <a:avLst/>
        </a:prstGeom>
      </xdr:spPr>
    </xdr:pic>
    <xdr:clientData/>
  </xdr:twoCellAnchor>
  <xdr:twoCellAnchor editAs="oneCell">
    <xdr:from>
      <xdr:col>1</xdr:col>
      <xdr:colOff>104775</xdr:colOff>
      <xdr:row>10</xdr:row>
      <xdr:rowOff>66675</xdr:rowOff>
    </xdr:from>
    <xdr:to>
      <xdr:col>12</xdr:col>
      <xdr:colOff>437166</xdr:colOff>
      <xdr:row>20</xdr:row>
      <xdr:rowOff>142651</xdr:rowOff>
    </xdr:to>
    <xdr:pic>
      <xdr:nvPicPr>
        <xdr:cNvPr id="3" name="图片 2"/>
        <xdr:cNvPicPr>
          <a:picLocks noChangeAspect="1"/>
        </xdr:cNvPicPr>
      </xdr:nvPicPr>
      <xdr:blipFill>
        <a:blip xmlns:r="http://schemas.openxmlformats.org/officeDocument/2006/relationships" r:embed="rId2"/>
        <a:stretch>
          <a:fillRect/>
        </a:stretch>
      </xdr:blipFill>
      <xdr:spPr>
        <a:xfrm>
          <a:off x="790575" y="1781175"/>
          <a:ext cx="7876191" cy="1790476"/>
        </a:xfrm>
        <a:prstGeom prst="rect">
          <a:avLst/>
        </a:prstGeom>
      </xdr:spPr>
    </xdr:pic>
    <xdr:clientData/>
  </xdr:twoCellAnchor>
  <xdr:twoCellAnchor editAs="oneCell">
    <xdr:from>
      <xdr:col>0</xdr:col>
      <xdr:colOff>647700</xdr:colOff>
      <xdr:row>80</xdr:row>
      <xdr:rowOff>25701</xdr:rowOff>
    </xdr:from>
    <xdr:to>
      <xdr:col>12</xdr:col>
      <xdr:colOff>131954</xdr:colOff>
      <xdr:row>90</xdr:row>
      <xdr:rowOff>47311</xdr:rowOff>
    </xdr:to>
    <xdr:pic>
      <xdr:nvPicPr>
        <xdr:cNvPr id="4" name="图片 3"/>
        <xdr:cNvPicPr>
          <a:picLocks noChangeAspect="1"/>
        </xdr:cNvPicPr>
      </xdr:nvPicPr>
      <xdr:blipFill>
        <a:blip xmlns:r="http://schemas.openxmlformats.org/officeDocument/2006/relationships" r:embed="rId3"/>
        <a:stretch>
          <a:fillRect/>
        </a:stretch>
      </xdr:blipFill>
      <xdr:spPr>
        <a:xfrm>
          <a:off x="647700" y="13741701"/>
          <a:ext cx="7713854" cy="1736110"/>
        </a:xfrm>
        <a:prstGeom prst="rect">
          <a:avLst/>
        </a:prstGeom>
      </xdr:spPr>
    </xdr:pic>
    <xdr:clientData/>
  </xdr:twoCellAnchor>
  <xdr:twoCellAnchor editAs="oneCell">
    <xdr:from>
      <xdr:col>1</xdr:col>
      <xdr:colOff>9524</xdr:colOff>
      <xdr:row>47</xdr:row>
      <xdr:rowOff>27498</xdr:rowOff>
    </xdr:from>
    <xdr:to>
      <xdr:col>12</xdr:col>
      <xdr:colOff>331438</xdr:colOff>
      <xdr:row>61</xdr:row>
      <xdr:rowOff>114300</xdr:rowOff>
    </xdr:to>
    <xdr:pic>
      <xdr:nvPicPr>
        <xdr:cNvPr id="7" name="图片 6"/>
        <xdr:cNvPicPr>
          <a:picLocks noChangeAspect="1"/>
        </xdr:cNvPicPr>
      </xdr:nvPicPr>
      <xdr:blipFill>
        <a:blip xmlns:r="http://schemas.openxmlformats.org/officeDocument/2006/relationships" r:embed="rId4"/>
        <a:stretch>
          <a:fillRect/>
        </a:stretch>
      </xdr:blipFill>
      <xdr:spPr>
        <a:xfrm>
          <a:off x="695324" y="8085648"/>
          <a:ext cx="7865714" cy="2487102"/>
        </a:xfrm>
        <a:prstGeom prst="rect">
          <a:avLst/>
        </a:prstGeom>
      </xdr:spPr>
    </xdr:pic>
    <xdr:clientData/>
  </xdr:twoCellAnchor>
  <xdr:twoCellAnchor editAs="oneCell">
    <xdr:from>
      <xdr:col>7</xdr:col>
      <xdr:colOff>85726</xdr:colOff>
      <xdr:row>58</xdr:row>
      <xdr:rowOff>123825</xdr:rowOff>
    </xdr:from>
    <xdr:to>
      <xdr:col>13</xdr:col>
      <xdr:colOff>333376</xdr:colOff>
      <xdr:row>68</xdr:row>
      <xdr:rowOff>136128</xdr:rowOff>
    </xdr:to>
    <xdr:pic>
      <xdr:nvPicPr>
        <xdr:cNvPr id="8" name="图片 7"/>
        <xdr:cNvPicPr>
          <a:picLocks noChangeAspect="1"/>
        </xdr:cNvPicPr>
      </xdr:nvPicPr>
      <xdr:blipFill>
        <a:blip xmlns:r="http://schemas.openxmlformats.org/officeDocument/2006/relationships" r:embed="rId5"/>
        <a:stretch>
          <a:fillRect/>
        </a:stretch>
      </xdr:blipFill>
      <xdr:spPr>
        <a:xfrm>
          <a:off x="4886326" y="10067925"/>
          <a:ext cx="4362450" cy="1726803"/>
        </a:xfrm>
        <a:prstGeom prst="rect">
          <a:avLst/>
        </a:prstGeom>
      </xdr:spPr>
    </xdr:pic>
    <xdr:clientData/>
  </xdr:twoCellAnchor>
  <xdr:twoCellAnchor editAs="oneCell">
    <xdr:from>
      <xdr:col>1</xdr:col>
      <xdr:colOff>57149</xdr:colOff>
      <xdr:row>21</xdr:row>
      <xdr:rowOff>169241</xdr:rowOff>
    </xdr:from>
    <xdr:to>
      <xdr:col>12</xdr:col>
      <xdr:colOff>429083</xdr:colOff>
      <xdr:row>36</xdr:row>
      <xdr:rowOff>133350</xdr:rowOff>
    </xdr:to>
    <xdr:pic>
      <xdr:nvPicPr>
        <xdr:cNvPr id="9" name="图片 8"/>
        <xdr:cNvPicPr>
          <a:picLocks noChangeAspect="1"/>
        </xdr:cNvPicPr>
      </xdr:nvPicPr>
      <xdr:blipFill>
        <a:blip xmlns:r="http://schemas.openxmlformats.org/officeDocument/2006/relationships" r:embed="rId6"/>
        <a:stretch>
          <a:fillRect/>
        </a:stretch>
      </xdr:blipFill>
      <xdr:spPr>
        <a:xfrm>
          <a:off x="742949" y="3769691"/>
          <a:ext cx="7915734" cy="2535859"/>
        </a:xfrm>
        <a:prstGeom prst="rect">
          <a:avLst/>
        </a:prstGeom>
      </xdr:spPr>
    </xdr:pic>
    <xdr:clientData/>
  </xdr:twoCellAnchor>
  <xdr:twoCellAnchor editAs="oneCell">
    <xdr:from>
      <xdr:col>1</xdr:col>
      <xdr:colOff>133350</xdr:colOff>
      <xdr:row>32</xdr:row>
      <xdr:rowOff>104775</xdr:rowOff>
    </xdr:from>
    <xdr:to>
      <xdr:col>12</xdr:col>
      <xdr:colOff>526906</xdr:colOff>
      <xdr:row>44</xdr:row>
      <xdr:rowOff>47625</xdr:rowOff>
    </xdr:to>
    <xdr:pic>
      <xdr:nvPicPr>
        <xdr:cNvPr id="10" name="图片 9"/>
        <xdr:cNvPicPr>
          <a:picLocks noChangeAspect="1"/>
        </xdr:cNvPicPr>
      </xdr:nvPicPr>
      <xdr:blipFill>
        <a:blip xmlns:r="http://schemas.openxmlformats.org/officeDocument/2006/relationships" r:embed="rId7"/>
        <a:stretch>
          <a:fillRect/>
        </a:stretch>
      </xdr:blipFill>
      <xdr:spPr>
        <a:xfrm>
          <a:off x="819150" y="5591175"/>
          <a:ext cx="7937356" cy="2000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8023;&#28207;&#22478;&#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8023;&#28207;&#22478;&#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案例"/>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4089.2799999999766</v>
          </cell>
        </row>
        <row r="2">
          <cell r="B2">
            <v>2715.1699999999996</v>
          </cell>
        </row>
        <row r="5">
          <cell r="B5">
            <v>3650</v>
          </cell>
        </row>
        <row r="6">
          <cell r="B6">
            <v>3650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v>87.68</v>
          </cell>
        </row>
        <row r="5">
          <cell r="B5">
            <v>545</v>
          </cell>
        </row>
        <row r="6">
          <cell r="B6">
            <v>545</v>
          </cell>
        </row>
        <row r="14">
          <cell r="B14">
            <v>481.82000000000005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估价对象为房地产，为所有。根据《国有土地使用证》[]，估价对象（分摊）出让国有建设用地使用权面积为10174.82平方米，建筑面积为36535.63平方米。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估价对象为房地产,属开发建设的，该项目尚在开发建设中。根据《国有土地使用证》[]，估价对象（分摊）出让国有建设用地使用权面积为10174.82平方米，规划建筑面积为36535.63平方米。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2019年6月3日（评估专业人员实地查勘之日）</v>
      </c>
    </row>
    <row r="13" spans="1:2" s="1593" customFormat="1">
      <c r="A13" s="1591" t="s">
        <v>1223</v>
      </c>
      <c r="B13" s="1592" t="str">
        <f>'预评函-1'!A18</f>
        <v>本次估价的“房地产价值”是指在正常市场情况下，在价值时点2019年6月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160</v>
      </c>
    </row>
    <row r="21" spans="1:2" s="1593" customFormat="1">
      <c r="A21" s="1591" t="s">
        <v>1231</v>
      </c>
      <c r="B21" s="1592">
        <f ca="1">'预评函-2'!D7</f>
        <v>29202</v>
      </c>
    </row>
    <row r="22" spans="1:2" s="1593" customFormat="1">
      <c r="A22" s="1591" t="s">
        <v>1232</v>
      </c>
      <c r="B22" s="1592" t="str">
        <f ca="1">'预评函-2'!D6</f>
        <v>壹佰陆拾万元整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160</v>
      </c>
    </row>
    <row r="31" spans="1:2" s="1593" customFormat="1">
      <c r="A31" s="1591" t="s">
        <v>1270</v>
      </c>
      <c r="B31" s="1592">
        <f ca="1">'预评函-2'!D15</f>
        <v>44</v>
      </c>
    </row>
    <row r="32" spans="1:2" s="1593" customFormat="1">
      <c r="A32" s="1591" t="s">
        <v>1237</v>
      </c>
      <c r="B32" s="1592" t="str">
        <f ca="1">'预评函-2'!D14</f>
        <v>壹佰陆拾万元整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36535.62999999999</v>
      </c>
    </row>
    <row r="44" spans="1:2" s="1593" customFormat="1">
      <c r="A44" s="1591" t="s">
        <v>1269</v>
      </c>
      <c r="B44" s="1592" t="str">
        <f>'预评函-3'!C2</f>
        <v>(分摊)土地面积</v>
      </c>
    </row>
    <row r="45" spans="1:2" s="1593" customFormat="1">
      <c r="A45" s="1591" t="s">
        <v>1241</v>
      </c>
      <c r="B45" s="1592">
        <f>'预评函-3'!C4</f>
        <v>10174.82</v>
      </c>
    </row>
    <row r="46" spans="1:2" s="1593" customFormat="1">
      <c r="A46" s="1591" t="s">
        <v>1267</v>
      </c>
      <c r="B46" s="1592" t="str">
        <f>'预评函-3'!D2</f>
        <v>出让国有建设用地使用权价值</v>
      </c>
    </row>
    <row r="47" spans="1:2" s="1593" customFormat="1">
      <c r="A47" s="1591" t="s">
        <v>1242</v>
      </c>
      <c r="B47" s="1592">
        <f ca="1">'预评函-3'!D4</f>
        <v>107</v>
      </c>
    </row>
    <row r="48" spans="1:2" s="1593" customFormat="1">
      <c r="A48" s="1591" t="s">
        <v>1243</v>
      </c>
      <c r="B48" s="1592">
        <f ca="1">'预评函-3'!E4</f>
        <v>19529</v>
      </c>
    </row>
    <row r="49" spans="1:2" s="1593" customFormat="1">
      <c r="A49" s="1591" t="s">
        <v>1244</v>
      </c>
      <c r="B49" s="1592" t="str">
        <f ca="1">'预评函-3'!D5</f>
        <v>壹佰零柒万元整</v>
      </c>
    </row>
    <row r="50" spans="1:2" s="1593" customFormat="1">
      <c r="A50" s="1591" t="s">
        <v>1268</v>
      </c>
      <c r="B50" s="1592" t="str">
        <f>'预评函-3'!F2</f>
        <v>在建建筑物价值</v>
      </c>
    </row>
    <row r="51" spans="1:2" s="1593" customFormat="1">
      <c r="A51" s="1591" t="s">
        <v>1245</v>
      </c>
      <c r="B51" s="1592">
        <f ca="1">'预评函-3'!F4</f>
        <v>53</v>
      </c>
    </row>
    <row r="52" spans="1:2" s="1593" customFormat="1">
      <c r="A52" s="1591" t="s">
        <v>1246</v>
      </c>
      <c r="B52" s="1592">
        <f ca="1">'预评函-3'!G4</f>
        <v>9673</v>
      </c>
    </row>
    <row r="53" spans="1:2" s="1593" customFormat="1">
      <c r="A53" s="1591" t="s">
        <v>1274</v>
      </c>
      <c r="B53" s="1592" t="str">
        <f ca="1">'预评函-3'!F5</f>
        <v>伍拾叁万元整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2" t="s">
        <v>861</v>
      </c>
      <c r="C54" s="2019" t="s">
        <v>1277</v>
      </c>
    </row>
    <row r="55" spans="1:4">
      <c r="A55" s="3017"/>
      <c r="B55" s="2022" t="s">
        <v>862</v>
      </c>
      <c r="C55" s="2019" t="s">
        <v>1278</v>
      </c>
    </row>
    <row r="56" spans="1:4">
      <c r="A56" s="3017"/>
      <c r="B56" s="2022" t="s">
        <v>863</v>
      </c>
      <c r="C56" s="2019" t="s">
        <v>1282</v>
      </c>
    </row>
    <row r="57" spans="1:4">
      <c r="A57" s="301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9" sqref="G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8" t="str">
        <f>IF(B10="北京市","北京市",C10)&amp;F10&amp;IF(结果表!G1="在建","出让国有建设用地使用权及在建建筑物",IF(结果表!G1="土地","出让国有建设用地使用权",))&amp;B9&amp;"预评估"</f>
        <v>房地产抵押价值预评估</v>
      </c>
      <c r="C1" s="3019"/>
      <c r="D1" s="3019"/>
      <c r="E1" s="3019"/>
      <c r="F1" s="3019"/>
      <c r="G1" s="3019"/>
      <c r="H1" s="3019"/>
      <c r="I1" s="302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1774</v>
      </c>
      <c r="B3" s="2036">
        <v>43619</v>
      </c>
      <c r="C3" s="2037" t="s">
        <v>1775</v>
      </c>
      <c r="D3" s="2036">
        <f>B3</f>
        <v>43619</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3055</v>
      </c>
      <c r="C8" s="2056"/>
      <c r="D8" s="3021" t="s">
        <v>1781</v>
      </c>
      <c r="E8" s="2057" t="s">
        <v>3056</v>
      </c>
      <c r="F8" s="2058"/>
      <c r="G8" s="2026"/>
      <c r="H8" s="2026"/>
      <c r="I8" s="2026"/>
      <c r="J8" s="2042"/>
      <c r="K8" s="2043"/>
      <c r="L8" s="2028"/>
      <c r="M8" s="2028"/>
      <c r="N8" s="2029"/>
      <c r="O8" s="2030"/>
      <c r="P8" s="2029"/>
      <c r="Q8" s="2029"/>
      <c r="R8" s="2029"/>
    </row>
    <row r="9" spans="1:19" ht="18" customHeight="1" thickBot="1">
      <c r="A9" s="2040" t="s">
        <v>1782</v>
      </c>
      <c r="B9" s="2059" t="s">
        <v>3056</v>
      </c>
      <c r="C9" s="2060"/>
      <c r="D9" s="3022"/>
      <c r="E9" s="2059"/>
      <c r="F9" s="2061"/>
      <c r="G9" s="2062"/>
      <c r="H9" s="2062"/>
      <c r="I9" s="2062"/>
      <c r="J9" s="2042"/>
      <c r="K9" s="2054"/>
      <c r="L9" s="2028"/>
      <c r="M9" s="2028"/>
      <c r="N9" s="2029"/>
      <c r="O9" s="2030"/>
      <c r="P9" s="2029"/>
      <c r="Q9" s="2029"/>
      <c r="R9" s="2029"/>
    </row>
    <row r="10" spans="1:19" ht="18" customHeight="1" thickTop="1">
      <c r="A10" s="2063" t="s">
        <v>1783</v>
      </c>
      <c r="B10" s="2064" t="s">
        <v>3057</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3059</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56383</v>
      </c>
      <c r="F13" s="2080"/>
      <c r="G13" s="2080">
        <v>56383</v>
      </c>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v>40</v>
      </c>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34.96</v>
      </c>
      <c r="F15" s="1049" t="str">
        <f>IF(B12="出让",IF(F13="","",ROUNDDOWN(MIN((F13-$D$3)/365,F14),2)),F14)</f>
        <v/>
      </c>
      <c r="G15" s="1049">
        <f>IF(B12="出让",IF(G13="","",ROUNDDOWN(MIN((G13-$D$3)/365,G14),2)),G14)</f>
        <v>34.96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28"/>
      <c r="C16" s="3029"/>
      <c r="D16" s="3030"/>
      <c r="E16" s="2086" t="s">
        <v>1798</v>
      </c>
      <c r="F16" s="3031"/>
      <c r="G16" s="3032"/>
      <c r="H16" s="3032"/>
      <c r="I16" s="3033"/>
      <c r="J16" s="2029"/>
      <c r="K16" s="2083"/>
      <c r="L16" s="2084"/>
      <c r="M16" s="2084"/>
      <c r="N16" s="2085"/>
      <c r="O16" s="2084"/>
      <c r="P16" s="2085"/>
      <c r="Q16" s="2029"/>
      <c r="R16" s="2029"/>
    </row>
    <row r="17" spans="1:22" ht="18" customHeight="1">
      <c r="A17" s="2087" t="s">
        <v>1799</v>
      </c>
      <c r="B17" s="2035" t="s">
        <v>1800</v>
      </c>
      <c r="C17" s="1054">
        <f>'数据-汇总表'!E3</f>
        <v>36535.62999999999</v>
      </c>
      <c r="D17" s="2088" t="s">
        <v>1801</v>
      </c>
      <c r="E17" s="3034" t="s">
        <v>1802</v>
      </c>
      <c r="F17" s="3035"/>
      <c r="G17" s="3035"/>
      <c r="H17" s="3035"/>
      <c r="I17" s="3036"/>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10174.82</v>
      </c>
      <c r="D18" s="2091" t="s">
        <v>1801</v>
      </c>
      <c r="E18" s="3037" t="s">
        <v>1805</v>
      </c>
      <c r="F18" s="3038"/>
      <c r="G18" s="3038"/>
      <c r="H18" s="3038"/>
      <c r="I18" s="3039"/>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4" t="s">
        <v>1810</v>
      </c>
      <c r="C20" s="3025"/>
      <c r="D20" s="3026" t="s">
        <v>1811</v>
      </c>
      <c r="E20" s="3027"/>
      <c r="F20" s="2098" t="s">
        <v>1812</v>
      </c>
      <c r="G20" s="2042"/>
      <c r="H20" s="2042"/>
      <c r="I20" s="2042"/>
      <c r="J20" s="2042"/>
      <c r="K20" s="302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1"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1"/>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1"/>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2"/>
      <c r="B30" s="2035" t="s">
        <v>1829</v>
      </c>
      <c r="C30" s="3043"/>
      <c r="D30" s="3044"/>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5"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6"/>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6"/>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40" t="s">
        <v>1839</v>
      </c>
      <c r="T34" s="2135" t="str">
        <f>NUMBERSTRING(7-K34,1)&amp;"通"</f>
        <v>七通</v>
      </c>
      <c r="U34" s="2029"/>
      <c r="V34" s="2029"/>
    </row>
    <row r="35" spans="1:22" ht="18" customHeight="1">
      <c r="A35" s="2136"/>
      <c r="B35" s="3047" t="s">
        <v>1840</v>
      </c>
      <c r="C35" s="3047"/>
      <c r="D35" s="3047"/>
      <c r="E35" s="3047"/>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6" sqref="E2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hidden="1" customWidth="1"/>
    <col min="11" max="11" width="11" style="2160"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36535.62999999999</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v>10174.82</v>
      </c>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36535.62999999999</v>
      </c>
      <c r="H5" s="16">
        <f t="shared" ref="H5:AT5" si="0">SUM(H13:H656)</f>
        <v>36535.62999999999</v>
      </c>
      <c r="I5" s="16">
        <f t="shared" si="0"/>
        <v>32225.339999999993</v>
      </c>
      <c r="J5" s="16">
        <f t="shared" si="0"/>
        <v>0</v>
      </c>
      <c r="K5" s="16">
        <f t="shared" si="0"/>
        <v>4310.29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36535.62999999999</v>
      </c>
      <c r="BA5" s="18">
        <f t="shared" si="1"/>
        <v>36535.62999999999</v>
      </c>
      <c r="BB5" s="18">
        <f t="shared" si="1"/>
        <v>32225.339999999993</v>
      </c>
      <c r="BC5" s="18">
        <f t="shared" si="1"/>
        <v>4310.29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10174.82</v>
      </c>
      <c r="AZ6" s="16" t="s">
        <v>3</v>
      </c>
      <c r="BA6" s="16">
        <f>ROUND($AY$6*BA5/$AZ$5,2)</f>
        <v>10174.82</v>
      </c>
      <c r="BB6" s="16">
        <f>ROUND($AY$6*BB5/$AZ$5,2)</f>
        <v>8974.4500000000007</v>
      </c>
      <c r="BC6" s="16">
        <f t="shared" ref="BC6:BH6" si="4">ROUND($AY$6*BC5/$AZ$5,2)</f>
        <v>1200.3699999999999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3060</v>
      </c>
      <c r="J9" s="981"/>
      <c r="K9" s="2192" t="s">
        <v>3061</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t="s">
        <v>1373</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1012</v>
      </c>
      <c r="D13" s="2214" t="s">
        <v>3062</v>
      </c>
      <c r="E13" s="16">
        <f>IF($C$3="是",ROUND($A$3*G13/$B$3,2),ROUND($A$3*(G13-AT13)/$B$3,2))</f>
        <v>0</v>
      </c>
      <c r="F13" s="32"/>
      <c r="G13" s="33">
        <f>H13+AC13+AT13</f>
        <v>350.27</v>
      </c>
      <c r="H13" s="20">
        <f>SUMIF(I$12:AB$12,"总值",I13:AB13)</f>
        <v>350.27</v>
      </c>
      <c r="I13" s="2957">
        <v>350.27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1012</v>
      </c>
      <c r="AY13" s="1806">
        <f>ROUND($AY$6*AZ13/$AZ$5,2)</f>
        <v>97.55</v>
      </c>
      <c r="AZ13" s="16">
        <f>BA13+BL13</f>
        <v>350.27</v>
      </c>
      <c r="BA13" s="16">
        <f>SUM(BB13:BK13)</f>
        <v>350.27</v>
      </c>
      <c r="BB13" s="16">
        <f>IF($D13="是",I13-J13,0)</f>
        <v>350.27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1064</v>
      </c>
      <c r="D14" s="2214" t="s">
        <v>3062</v>
      </c>
      <c r="E14" s="16">
        <f>IF($C$3="是",ROUND($A$3*G14/$B$3,2),ROUND($A$3*(G14-AT14)/$B$3,2))</f>
        <v>0</v>
      </c>
      <c r="F14" s="32"/>
      <c r="G14" s="33">
        <f>H14+AC14+AT14</f>
        <v>54.79</v>
      </c>
      <c r="H14" s="20">
        <f>SUMIF(I$12:AB$12,"总值",I14:AB14)</f>
        <v>54.79</v>
      </c>
      <c r="I14" s="2215">
        <v>54.79</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1064</v>
      </c>
      <c r="AY14" s="1806">
        <f>ROUND($AY$6*AZ14/$AZ$5,2)</f>
        <v>15.26</v>
      </c>
      <c r="AZ14" s="16">
        <f>BA14+BL14</f>
        <v>54.79</v>
      </c>
      <c r="BA14" s="16">
        <f>SUM(BB14:BK14)</f>
        <v>54.79</v>
      </c>
      <c r="BB14" s="16">
        <f>IF($D14="是",I14-J14,0)</f>
        <v>54.79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v>1071</v>
      </c>
      <c r="D15" s="2214" t="s">
        <v>3062</v>
      </c>
      <c r="E15" s="16">
        <f>IF($C$3="是",ROUND($A$3*G15/$B$3,2),ROUND($A$3*(G15-AT15)/$B$3,2))</f>
        <v>0</v>
      </c>
      <c r="F15" s="32"/>
      <c r="G15" s="33">
        <f>H15+AC15+AT15</f>
        <v>46.03</v>
      </c>
      <c r="H15" s="20">
        <f>SUMIF(I$12:AB$12,"总值",I15:AB15)</f>
        <v>46.03</v>
      </c>
      <c r="I15" s="2215">
        <v>46.03</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1071</v>
      </c>
      <c r="AY15" s="1806">
        <f>ROUND($AY$6*AZ15/$AZ$5,2)</f>
        <v>12.82</v>
      </c>
      <c r="AZ15" s="16">
        <f>BA15+BL15</f>
        <v>46.03</v>
      </c>
      <c r="BA15" s="16">
        <f>SUM(BB15:BK15)</f>
        <v>46.03</v>
      </c>
      <c r="BB15" s="16">
        <f>IF($D15="是",I15-J15,0)</f>
        <v>46.03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v>1072</v>
      </c>
      <c r="D16" s="2214" t="s">
        <v>3062</v>
      </c>
      <c r="E16" s="16">
        <f>IF($C$3="是",ROUND($A$3*G16/$B$3,2),ROUND($A$3*(G16-AT16)/$B$3,2))</f>
        <v>0</v>
      </c>
      <c r="F16" s="32"/>
      <c r="G16" s="33">
        <f>H16+AC16+AT16</f>
        <v>46.03</v>
      </c>
      <c r="H16" s="20">
        <f>SUMIF(I$12:AB$12,"总值",I16:AB16)</f>
        <v>46.03</v>
      </c>
      <c r="I16" s="2215">
        <v>46.03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1072</v>
      </c>
      <c r="AY16" s="1806">
        <f>ROUND($AY$6*AZ16/$AZ$5,2)</f>
        <v>12.82</v>
      </c>
      <c r="AZ16" s="16">
        <f>BA16+BL16</f>
        <v>46.03</v>
      </c>
      <c r="BA16" s="16">
        <f>SUM(BB16:BK16)</f>
        <v>46.03</v>
      </c>
      <c r="BB16" s="16">
        <f>IF($D16="是",I16-J16,0)</f>
        <v>46.03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v>1174</v>
      </c>
      <c r="D17" s="2214" t="s">
        <v>3062</v>
      </c>
      <c r="E17" s="16">
        <f>IF($C$3="是",ROUND($A$3*G17/$B$3,2),ROUND($A$3*(G17-AT17)/$B$3,2))</f>
        <v>0</v>
      </c>
      <c r="F17" s="32"/>
      <c r="G17" s="33">
        <f>H17+AC17+AT17</f>
        <v>25.12</v>
      </c>
      <c r="H17" s="20">
        <f>SUMIF(I$12:AB$12,"总值",I17:AB17)</f>
        <v>25.12</v>
      </c>
      <c r="I17" s="2215">
        <v>25.12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1174</v>
      </c>
      <c r="AY17" s="1806">
        <f>ROUND($AY$6*AZ17/$AZ$5,2)</f>
        <v>7</v>
      </c>
      <c r="AZ17" s="16">
        <f>BA17+BL17</f>
        <v>25.12</v>
      </c>
      <c r="BA17" s="16">
        <f>SUM(BB17:BK17)</f>
        <v>25.12</v>
      </c>
      <c r="BB17" s="16">
        <f>IF($D17="是",I17-J17,0)</f>
        <v>25.12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1194</v>
      </c>
      <c r="D18" s="2214" t="s">
        <v>3062</v>
      </c>
      <c r="E18" s="35">
        <f t="shared" ref="E18:E112" si="7">IF($C$3="是",ROUND($A$3*G18/$B$3,2),ROUND($A$3*(G18-AT18)/$B$3,2))</f>
        <v>0</v>
      </c>
      <c r="F18" s="36"/>
      <c r="G18" s="37">
        <f t="shared" ref="G18:G109" si="8">H18+AC18+AT18</f>
        <v>50.11</v>
      </c>
      <c r="H18" s="38">
        <f t="shared" ref="H18:H109" si="9">SUMIF(I$12:AB$12,"总值",I18:AB18)</f>
        <v>50.11</v>
      </c>
      <c r="I18" s="39">
        <v>50.11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1194</v>
      </c>
      <c r="AY18" s="42">
        <f t="shared" ref="AY18:AY109" si="14">ROUND($AY$6*AZ18/$AZ$5,2)</f>
        <v>13.96</v>
      </c>
      <c r="AZ18" s="35">
        <f t="shared" ref="AZ18:AZ109" si="15">BA18+BL18</f>
        <v>50.11</v>
      </c>
      <c r="BA18" s="35">
        <f t="shared" ref="BA18:BA109" si="16">SUM(BB18:BK18)</f>
        <v>50.11</v>
      </c>
      <c r="BB18" s="35">
        <f t="shared" ref="BB18:BB109" si="17">IF($D18="是",I18-J18,0)</f>
        <v>50.11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1219</v>
      </c>
      <c r="D19" s="2214" t="s">
        <v>3062</v>
      </c>
      <c r="E19" s="35">
        <f t="shared" si="7"/>
        <v>0</v>
      </c>
      <c r="F19" s="36"/>
      <c r="G19" s="37">
        <f t="shared" si="8"/>
        <v>87.52</v>
      </c>
      <c r="H19" s="38">
        <f t="shared" si="9"/>
        <v>87.52</v>
      </c>
      <c r="I19" s="39">
        <v>87.52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1219</v>
      </c>
      <c r="AY19" s="42">
        <f t="shared" si="14"/>
        <v>24.37</v>
      </c>
      <c r="AZ19" s="35">
        <f t="shared" si="15"/>
        <v>87.52</v>
      </c>
      <c r="BA19" s="35">
        <f t="shared" si="16"/>
        <v>87.52</v>
      </c>
      <c r="BB19" s="35">
        <f t="shared" si="17"/>
        <v>87.52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1246</v>
      </c>
      <c r="D20" s="2214" t="s">
        <v>3062</v>
      </c>
      <c r="E20" s="35">
        <f t="shared" si="7"/>
        <v>0</v>
      </c>
      <c r="F20" s="36"/>
      <c r="G20" s="37">
        <f t="shared" si="8"/>
        <v>38.450000000000003</v>
      </c>
      <c r="H20" s="38">
        <f t="shared" si="9"/>
        <v>38.450000000000003</v>
      </c>
      <c r="I20" s="39">
        <v>38.450000000000003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1246</v>
      </c>
      <c r="AY20" s="42">
        <f t="shared" si="14"/>
        <v>10.71</v>
      </c>
      <c r="AZ20" s="35">
        <f t="shared" si="15"/>
        <v>38.450000000000003</v>
      </c>
      <c r="BA20" s="35">
        <f t="shared" si="16"/>
        <v>38.450000000000003</v>
      </c>
      <c r="BB20" s="35">
        <f t="shared" si="17"/>
        <v>38.450000000000003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1273</v>
      </c>
      <c r="D21" s="2214" t="s">
        <v>3062</v>
      </c>
      <c r="E21" s="35">
        <f t="shared" si="7"/>
        <v>0</v>
      </c>
      <c r="F21" s="36"/>
      <c r="G21" s="37">
        <f t="shared" si="8"/>
        <v>38.909999999999997</v>
      </c>
      <c r="H21" s="38">
        <f t="shared" si="9"/>
        <v>38.909999999999997</v>
      </c>
      <c r="I21" s="39">
        <v>38.909999999999997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1273</v>
      </c>
      <c r="AY21" s="42">
        <f t="shared" si="14"/>
        <v>10.84</v>
      </c>
      <c r="AZ21" s="35">
        <f t="shared" si="15"/>
        <v>38.909999999999997</v>
      </c>
      <c r="BA21" s="35">
        <f t="shared" si="16"/>
        <v>38.909999999999997</v>
      </c>
      <c r="BB21" s="35">
        <f t="shared" si="17"/>
        <v>38.909999999999997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1307</v>
      </c>
      <c r="D22" s="2214" t="s">
        <v>3062</v>
      </c>
      <c r="E22" s="35">
        <f t="shared" si="7"/>
        <v>0</v>
      </c>
      <c r="F22" s="36"/>
      <c r="G22" s="37">
        <f t="shared" si="8"/>
        <v>43.49</v>
      </c>
      <c r="H22" s="38">
        <f t="shared" si="9"/>
        <v>43.49</v>
      </c>
      <c r="I22" s="39">
        <v>43.49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1307</v>
      </c>
      <c r="AY22" s="42">
        <f t="shared" si="14"/>
        <v>12.11</v>
      </c>
      <c r="AZ22" s="35">
        <f t="shared" si="15"/>
        <v>43.49</v>
      </c>
      <c r="BA22" s="35">
        <f t="shared" si="16"/>
        <v>43.49</v>
      </c>
      <c r="BB22" s="35">
        <f t="shared" si="17"/>
        <v>43.49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4">
        <v>1308</v>
      </c>
      <c r="D23" s="2214" t="s">
        <v>3062</v>
      </c>
      <c r="E23" s="35">
        <f t="shared" si="7"/>
        <v>0</v>
      </c>
      <c r="F23" s="36"/>
      <c r="G23" s="37">
        <f t="shared" si="8"/>
        <v>32.700000000000003</v>
      </c>
      <c r="H23" s="38">
        <f t="shared" si="9"/>
        <v>32.700000000000003</v>
      </c>
      <c r="I23" s="39">
        <v>32.700000000000003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1308</v>
      </c>
      <c r="AY23" s="42">
        <f t="shared" si="14"/>
        <v>9.11</v>
      </c>
      <c r="AZ23" s="35">
        <f t="shared" si="15"/>
        <v>32.700000000000003</v>
      </c>
      <c r="BA23" s="35">
        <f t="shared" si="16"/>
        <v>32.700000000000003</v>
      </c>
      <c r="BB23" s="35">
        <f t="shared" si="17"/>
        <v>32.700000000000003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4">
        <v>1309</v>
      </c>
      <c r="D24" s="2214" t="s">
        <v>3062</v>
      </c>
      <c r="E24" s="35">
        <f t="shared" si="7"/>
        <v>0</v>
      </c>
      <c r="F24" s="36"/>
      <c r="G24" s="37">
        <f t="shared" si="8"/>
        <v>33.4</v>
      </c>
      <c r="H24" s="38">
        <f t="shared" si="9"/>
        <v>33.4</v>
      </c>
      <c r="I24" s="39">
        <v>33.4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1309</v>
      </c>
      <c r="AY24" s="42">
        <f t="shared" si="14"/>
        <v>9.3000000000000007</v>
      </c>
      <c r="AZ24" s="35">
        <f t="shared" si="15"/>
        <v>33.4</v>
      </c>
      <c r="BA24" s="35">
        <f t="shared" si="16"/>
        <v>33.4</v>
      </c>
      <c r="BB24" s="35">
        <f t="shared" si="17"/>
        <v>33.4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1334</v>
      </c>
      <c r="D25" s="2214" t="s">
        <v>3062</v>
      </c>
      <c r="E25" s="35">
        <f t="shared" si="7"/>
        <v>0</v>
      </c>
      <c r="F25" s="36"/>
      <c r="G25" s="37">
        <f t="shared" si="8"/>
        <v>43.49</v>
      </c>
      <c r="H25" s="38">
        <f t="shared" si="9"/>
        <v>43.49</v>
      </c>
      <c r="I25" s="39">
        <v>43.49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1334</v>
      </c>
      <c r="AY25" s="42">
        <f t="shared" si="14"/>
        <v>12.11</v>
      </c>
      <c r="AZ25" s="35">
        <f t="shared" si="15"/>
        <v>43.49</v>
      </c>
      <c r="BA25" s="35">
        <f t="shared" si="16"/>
        <v>43.49</v>
      </c>
      <c r="BB25" s="35">
        <f t="shared" si="17"/>
        <v>43.49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1352</v>
      </c>
      <c r="D26" s="2214" t="s">
        <v>3062</v>
      </c>
      <c r="E26" s="35">
        <f t="shared" si="7"/>
        <v>0</v>
      </c>
      <c r="F26" s="36"/>
      <c r="G26" s="37">
        <f t="shared" si="8"/>
        <v>21616.880000000001</v>
      </c>
      <c r="H26" s="38">
        <f t="shared" si="9"/>
        <v>21616.880000000001</v>
      </c>
      <c r="I26" s="39">
        <v>21616.880000000001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1352</v>
      </c>
      <c r="AY26" s="42">
        <f t="shared" si="14"/>
        <v>6020.09</v>
      </c>
      <c r="AZ26" s="35">
        <f t="shared" si="15"/>
        <v>21616.880000000001</v>
      </c>
      <c r="BA26" s="35">
        <f t="shared" si="16"/>
        <v>21616.880000000001</v>
      </c>
      <c r="BB26" s="35">
        <f t="shared" si="17"/>
        <v>21616.880000000001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2104</v>
      </c>
      <c r="D27" s="2214" t="s">
        <v>3062</v>
      </c>
      <c r="E27" s="35">
        <f t="shared" si="7"/>
        <v>0</v>
      </c>
      <c r="F27" s="36"/>
      <c r="G27" s="37">
        <f t="shared" si="8"/>
        <v>61.62</v>
      </c>
      <c r="H27" s="38">
        <f t="shared" si="9"/>
        <v>61.62</v>
      </c>
      <c r="I27" s="39">
        <v>61.62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2104</v>
      </c>
      <c r="AY27" s="42">
        <f t="shared" si="14"/>
        <v>17.16</v>
      </c>
      <c r="AZ27" s="35">
        <f t="shared" si="15"/>
        <v>61.62</v>
      </c>
      <c r="BA27" s="35">
        <f t="shared" si="16"/>
        <v>61.62</v>
      </c>
      <c r="BB27" s="35">
        <f t="shared" si="17"/>
        <v>61.62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2166</v>
      </c>
      <c r="D28" s="2214" t="s">
        <v>3062</v>
      </c>
      <c r="E28" s="35">
        <f t="shared" si="7"/>
        <v>0</v>
      </c>
      <c r="F28" s="36"/>
      <c r="G28" s="37">
        <f t="shared" si="8"/>
        <v>29.56</v>
      </c>
      <c r="H28" s="38">
        <f t="shared" si="9"/>
        <v>29.56</v>
      </c>
      <c r="I28" s="39">
        <v>29.56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2166</v>
      </c>
      <c r="AY28" s="42">
        <f t="shared" si="14"/>
        <v>8.23</v>
      </c>
      <c r="AZ28" s="35">
        <f t="shared" si="15"/>
        <v>29.56</v>
      </c>
      <c r="BA28" s="35">
        <f t="shared" si="16"/>
        <v>29.56</v>
      </c>
      <c r="BB28" s="35">
        <f t="shared" si="17"/>
        <v>29.56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2172</v>
      </c>
      <c r="D29" s="2214" t="s">
        <v>3062</v>
      </c>
      <c r="E29" s="35">
        <f t="shared" si="7"/>
        <v>0</v>
      </c>
      <c r="F29" s="36"/>
      <c r="G29" s="37">
        <f t="shared" si="8"/>
        <v>36.96</v>
      </c>
      <c r="H29" s="38">
        <f t="shared" si="9"/>
        <v>36.96</v>
      </c>
      <c r="I29" s="39">
        <v>36.96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2172</v>
      </c>
      <c r="AY29" s="42">
        <f t="shared" si="14"/>
        <v>10.29</v>
      </c>
      <c r="AZ29" s="35">
        <f t="shared" si="15"/>
        <v>36.96</v>
      </c>
      <c r="BA29" s="35">
        <f t="shared" si="16"/>
        <v>36.96</v>
      </c>
      <c r="BB29" s="35">
        <f t="shared" si="17"/>
        <v>36.96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2173</v>
      </c>
      <c r="D30" s="2214" t="s">
        <v>3062</v>
      </c>
      <c r="E30" s="35">
        <f t="shared" si="7"/>
        <v>0</v>
      </c>
      <c r="F30" s="36"/>
      <c r="G30" s="37">
        <f t="shared" si="8"/>
        <v>38.159999999999997</v>
      </c>
      <c r="H30" s="38">
        <f t="shared" si="9"/>
        <v>38.159999999999997</v>
      </c>
      <c r="I30" s="39">
        <v>38.159999999999997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2173</v>
      </c>
      <c r="AY30" s="42">
        <f t="shared" si="14"/>
        <v>10.63</v>
      </c>
      <c r="AZ30" s="35">
        <f t="shared" si="15"/>
        <v>38.159999999999997</v>
      </c>
      <c r="BA30" s="35">
        <f t="shared" si="16"/>
        <v>38.159999999999997</v>
      </c>
      <c r="BB30" s="35">
        <f t="shared" si="17"/>
        <v>38.159999999999997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2174</v>
      </c>
      <c r="D31" s="2214" t="s">
        <v>3062</v>
      </c>
      <c r="E31" s="35">
        <f t="shared" si="7"/>
        <v>0</v>
      </c>
      <c r="F31" s="36"/>
      <c r="G31" s="37">
        <f t="shared" si="8"/>
        <v>33.39</v>
      </c>
      <c r="H31" s="38">
        <f t="shared" si="9"/>
        <v>33.39</v>
      </c>
      <c r="I31" s="39">
        <v>33.39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2174</v>
      </c>
      <c r="AY31" s="42">
        <f t="shared" si="14"/>
        <v>9.3000000000000007</v>
      </c>
      <c r="AZ31" s="35">
        <f t="shared" si="15"/>
        <v>33.39</v>
      </c>
      <c r="BA31" s="35">
        <f t="shared" si="16"/>
        <v>33.39</v>
      </c>
      <c r="BB31" s="35">
        <f t="shared" si="17"/>
        <v>33.39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3038</v>
      </c>
      <c r="D32" s="2214" t="s">
        <v>3062</v>
      </c>
      <c r="E32" s="35">
        <f t="shared" si="7"/>
        <v>0</v>
      </c>
      <c r="F32" s="36"/>
      <c r="G32" s="37">
        <f t="shared" si="8"/>
        <v>37.21</v>
      </c>
      <c r="H32" s="38">
        <f t="shared" si="9"/>
        <v>37.21</v>
      </c>
      <c r="I32" s="39">
        <v>37.21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3038</v>
      </c>
      <c r="AY32" s="42">
        <f t="shared" si="14"/>
        <v>10.36</v>
      </c>
      <c r="AZ32" s="35">
        <f t="shared" si="15"/>
        <v>37.21</v>
      </c>
      <c r="BA32" s="35">
        <f t="shared" si="16"/>
        <v>37.21</v>
      </c>
      <c r="BB32" s="35">
        <f t="shared" si="17"/>
        <v>37.21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3090</v>
      </c>
      <c r="D33" s="2214" t="s">
        <v>3062</v>
      </c>
      <c r="E33" s="35">
        <f t="shared" si="7"/>
        <v>0</v>
      </c>
      <c r="F33" s="36"/>
      <c r="G33" s="37">
        <f t="shared" si="8"/>
        <v>35.409999999999997</v>
      </c>
      <c r="H33" s="38">
        <f t="shared" si="9"/>
        <v>35.409999999999997</v>
      </c>
      <c r="I33" s="39">
        <v>35.409999999999997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3090</v>
      </c>
      <c r="AY33" s="42">
        <f t="shared" si="14"/>
        <v>9.86</v>
      </c>
      <c r="AZ33" s="35">
        <f t="shared" si="15"/>
        <v>35.409999999999997</v>
      </c>
      <c r="BA33" s="35">
        <f t="shared" si="16"/>
        <v>35.409999999999997</v>
      </c>
      <c r="BB33" s="35">
        <f t="shared" si="17"/>
        <v>35.409999999999997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3161</v>
      </c>
      <c r="D34" s="2214" t="s">
        <v>3062</v>
      </c>
      <c r="E34" s="35">
        <f t="shared" si="7"/>
        <v>0</v>
      </c>
      <c r="F34" s="36"/>
      <c r="G34" s="37">
        <f t="shared" si="8"/>
        <v>33.21</v>
      </c>
      <c r="H34" s="38">
        <f t="shared" si="9"/>
        <v>33.21</v>
      </c>
      <c r="I34" s="39">
        <v>33.21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3161</v>
      </c>
      <c r="AY34" s="42">
        <f t="shared" si="14"/>
        <v>9.25</v>
      </c>
      <c r="AZ34" s="35">
        <f t="shared" si="15"/>
        <v>33.21</v>
      </c>
      <c r="BA34" s="35">
        <f t="shared" si="16"/>
        <v>33.21</v>
      </c>
      <c r="BB34" s="35">
        <f t="shared" si="17"/>
        <v>33.21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3162</v>
      </c>
      <c r="D35" s="2214" t="s">
        <v>3062</v>
      </c>
      <c r="E35" s="35">
        <f t="shared" si="7"/>
        <v>0</v>
      </c>
      <c r="F35" s="36"/>
      <c r="G35" s="37">
        <f t="shared" si="8"/>
        <v>37.950000000000003</v>
      </c>
      <c r="H35" s="38">
        <f t="shared" si="9"/>
        <v>37.950000000000003</v>
      </c>
      <c r="I35" s="39">
        <v>37.950000000000003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3162</v>
      </c>
      <c r="AY35" s="42">
        <f t="shared" si="14"/>
        <v>10.57</v>
      </c>
      <c r="AZ35" s="35">
        <f t="shared" si="15"/>
        <v>37.950000000000003</v>
      </c>
      <c r="BA35" s="35">
        <f t="shared" si="16"/>
        <v>37.950000000000003</v>
      </c>
      <c r="BB35" s="35">
        <f t="shared" si="17"/>
        <v>37.950000000000003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3163</v>
      </c>
      <c r="D36" s="2214" t="s">
        <v>3062</v>
      </c>
      <c r="E36" s="35">
        <f t="shared" si="7"/>
        <v>0</v>
      </c>
      <c r="F36" s="36"/>
      <c r="G36" s="37">
        <f t="shared" si="8"/>
        <v>36.76</v>
      </c>
      <c r="H36" s="38">
        <f t="shared" si="9"/>
        <v>36.76</v>
      </c>
      <c r="I36" s="39">
        <v>36.76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3163</v>
      </c>
      <c r="AY36" s="42">
        <f t="shared" si="14"/>
        <v>10.24</v>
      </c>
      <c r="AZ36" s="35">
        <f t="shared" si="15"/>
        <v>36.76</v>
      </c>
      <c r="BA36" s="35">
        <f t="shared" si="16"/>
        <v>36.76</v>
      </c>
      <c r="BB36" s="35">
        <f t="shared" si="17"/>
        <v>36.76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4031</v>
      </c>
      <c r="D37" s="2214" t="s">
        <v>3062</v>
      </c>
      <c r="E37" s="35">
        <f t="shared" si="7"/>
        <v>0</v>
      </c>
      <c r="F37" s="36"/>
      <c r="G37" s="37">
        <f t="shared" si="8"/>
        <v>66.05</v>
      </c>
      <c r="H37" s="38">
        <f t="shared" si="9"/>
        <v>66.05</v>
      </c>
      <c r="I37" s="39">
        <v>66.05</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4031</v>
      </c>
      <c r="AY37" s="42">
        <f t="shared" si="14"/>
        <v>18.39</v>
      </c>
      <c r="AZ37" s="35">
        <f t="shared" si="15"/>
        <v>66.05</v>
      </c>
      <c r="BA37" s="35">
        <f t="shared" si="16"/>
        <v>66.05</v>
      </c>
      <c r="BB37" s="35">
        <f t="shared" si="17"/>
        <v>66.05</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4032</v>
      </c>
      <c r="D38" s="2214" t="s">
        <v>3062</v>
      </c>
      <c r="E38" s="35">
        <f t="shared" si="7"/>
        <v>0</v>
      </c>
      <c r="F38" s="36"/>
      <c r="G38" s="37">
        <f t="shared" si="8"/>
        <v>50.35</v>
      </c>
      <c r="H38" s="38">
        <f t="shared" si="9"/>
        <v>50.35</v>
      </c>
      <c r="I38" s="39">
        <v>50.35</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4032</v>
      </c>
      <c r="AY38" s="42">
        <f t="shared" si="14"/>
        <v>14.02</v>
      </c>
      <c r="AZ38" s="35">
        <f t="shared" si="15"/>
        <v>50.35</v>
      </c>
      <c r="BA38" s="35">
        <f t="shared" si="16"/>
        <v>50.35</v>
      </c>
      <c r="BB38" s="35">
        <f t="shared" si="17"/>
        <v>50.35</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v>4033</v>
      </c>
      <c r="D39" s="2214" t="s">
        <v>3062</v>
      </c>
      <c r="E39" s="35">
        <f t="shared" si="7"/>
        <v>0</v>
      </c>
      <c r="F39" s="36"/>
      <c r="G39" s="37">
        <f t="shared" si="8"/>
        <v>50.34</v>
      </c>
      <c r="H39" s="38">
        <f t="shared" si="9"/>
        <v>50.34</v>
      </c>
      <c r="I39" s="39">
        <v>50.34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4033</v>
      </c>
      <c r="AY39" s="42">
        <f t="shared" si="14"/>
        <v>14.02</v>
      </c>
      <c r="AZ39" s="35">
        <f t="shared" si="15"/>
        <v>50.34</v>
      </c>
      <c r="BA39" s="35">
        <f t="shared" si="16"/>
        <v>50.34</v>
      </c>
      <c r="BB39" s="35">
        <f t="shared" si="17"/>
        <v>50.34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v>4086</v>
      </c>
      <c r="D40" s="2214" t="s">
        <v>3062</v>
      </c>
      <c r="E40" s="35">
        <f t="shared" si="7"/>
        <v>0</v>
      </c>
      <c r="F40" s="36"/>
      <c r="G40" s="37">
        <f t="shared" si="8"/>
        <v>32.729999999999997</v>
      </c>
      <c r="H40" s="38">
        <f t="shared" si="9"/>
        <v>32.729999999999997</v>
      </c>
      <c r="I40" s="39">
        <v>32.729999999999997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4086</v>
      </c>
      <c r="AY40" s="42">
        <f t="shared" si="14"/>
        <v>9.11</v>
      </c>
      <c r="AZ40" s="35">
        <f t="shared" si="15"/>
        <v>32.729999999999997</v>
      </c>
      <c r="BA40" s="35">
        <f t="shared" si="16"/>
        <v>32.729999999999997</v>
      </c>
      <c r="BB40" s="35">
        <f t="shared" si="17"/>
        <v>32.729999999999997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v>4109</v>
      </c>
      <c r="D41" s="2214" t="s">
        <v>3062</v>
      </c>
      <c r="E41" s="35">
        <f t="shared" si="7"/>
        <v>0</v>
      </c>
      <c r="F41" s="36"/>
      <c r="G41" s="37">
        <f t="shared" si="8"/>
        <v>25.84</v>
      </c>
      <c r="H41" s="38">
        <f t="shared" si="9"/>
        <v>25.84</v>
      </c>
      <c r="I41" s="39">
        <v>25.84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4109</v>
      </c>
      <c r="AY41" s="42">
        <f t="shared" si="14"/>
        <v>7.2</v>
      </c>
      <c r="AZ41" s="35">
        <f t="shared" si="15"/>
        <v>25.84</v>
      </c>
      <c r="BA41" s="35">
        <f t="shared" si="16"/>
        <v>25.84</v>
      </c>
      <c r="BB41" s="35">
        <f t="shared" si="17"/>
        <v>25.84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v>4157</v>
      </c>
      <c r="D42" s="2214" t="s">
        <v>3062</v>
      </c>
      <c r="E42" s="35">
        <f t="shared" si="7"/>
        <v>0</v>
      </c>
      <c r="F42" s="36"/>
      <c r="G42" s="37">
        <f t="shared" si="8"/>
        <v>30.7</v>
      </c>
      <c r="H42" s="38">
        <f t="shared" si="9"/>
        <v>30.7</v>
      </c>
      <c r="I42" s="39">
        <v>30.7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4157</v>
      </c>
      <c r="AY42" s="42">
        <f t="shared" si="14"/>
        <v>8.5500000000000007</v>
      </c>
      <c r="AZ42" s="35">
        <f t="shared" si="15"/>
        <v>30.7</v>
      </c>
      <c r="BA42" s="35">
        <f t="shared" si="16"/>
        <v>30.7</v>
      </c>
      <c r="BB42" s="35">
        <f t="shared" si="17"/>
        <v>30.7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v>4158</v>
      </c>
      <c r="D43" s="2214" t="s">
        <v>3062</v>
      </c>
      <c r="E43" s="35">
        <f t="shared" si="7"/>
        <v>0</v>
      </c>
      <c r="F43" s="36"/>
      <c r="G43" s="37">
        <f t="shared" si="8"/>
        <v>35.08</v>
      </c>
      <c r="H43" s="38">
        <f t="shared" si="9"/>
        <v>35.08</v>
      </c>
      <c r="I43" s="39">
        <v>35.08</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4158</v>
      </c>
      <c r="AY43" s="42">
        <f t="shared" si="14"/>
        <v>9.77</v>
      </c>
      <c r="AZ43" s="35">
        <f t="shared" si="15"/>
        <v>35.08</v>
      </c>
      <c r="BA43" s="35">
        <f t="shared" si="16"/>
        <v>35.08</v>
      </c>
      <c r="BB43" s="35">
        <f t="shared" si="17"/>
        <v>35.08</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v>4159</v>
      </c>
      <c r="D44" s="2214" t="s">
        <v>3062</v>
      </c>
      <c r="E44" s="35">
        <f t="shared" si="7"/>
        <v>0</v>
      </c>
      <c r="F44" s="36"/>
      <c r="G44" s="37">
        <f t="shared" si="8"/>
        <v>33.99</v>
      </c>
      <c r="H44" s="38">
        <f t="shared" si="9"/>
        <v>33.99</v>
      </c>
      <c r="I44" s="39">
        <v>33.99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4159</v>
      </c>
      <c r="AY44" s="42">
        <f t="shared" si="14"/>
        <v>9.4700000000000006</v>
      </c>
      <c r="AZ44" s="35">
        <f t="shared" si="15"/>
        <v>33.99</v>
      </c>
      <c r="BA44" s="35">
        <f t="shared" si="16"/>
        <v>33.99</v>
      </c>
      <c r="BB44" s="35">
        <f t="shared" si="17"/>
        <v>33.99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v>4181</v>
      </c>
      <c r="D45" s="2214" t="s">
        <v>3062</v>
      </c>
      <c r="E45" s="35">
        <f t="shared" si="7"/>
        <v>0</v>
      </c>
      <c r="F45" s="36"/>
      <c r="G45" s="37">
        <f t="shared" si="8"/>
        <v>934.19</v>
      </c>
      <c r="H45" s="38">
        <f t="shared" si="9"/>
        <v>934.19</v>
      </c>
      <c r="I45" s="39">
        <v>934.19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4181</v>
      </c>
      <c r="AY45" s="42">
        <f t="shared" si="14"/>
        <v>260.16000000000003</v>
      </c>
      <c r="AZ45" s="35">
        <f t="shared" si="15"/>
        <v>934.19</v>
      </c>
      <c r="BA45" s="35">
        <f t="shared" si="16"/>
        <v>934.19</v>
      </c>
      <c r="BB45" s="35">
        <f t="shared" si="17"/>
        <v>934.19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v>5087</v>
      </c>
      <c r="D46" s="2214" t="s">
        <v>3062</v>
      </c>
      <c r="E46" s="35">
        <f t="shared" si="7"/>
        <v>0</v>
      </c>
      <c r="F46" s="36"/>
      <c r="G46" s="37">
        <f t="shared" si="8"/>
        <v>37.14</v>
      </c>
      <c r="H46" s="38">
        <f t="shared" si="9"/>
        <v>37.14</v>
      </c>
      <c r="I46" s="39">
        <v>37.14</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5087</v>
      </c>
      <c r="AY46" s="42">
        <f t="shared" si="14"/>
        <v>10.34</v>
      </c>
      <c r="AZ46" s="35">
        <f t="shared" si="15"/>
        <v>37.14</v>
      </c>
      <c r="BA46" s="35">
        <f t="shared" si="16"/>
        <v>37.14</v>
      </c>
      <c r="BB46" s="35">
        <f t="shared" si="17"/>
        <v>37.14</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4">
        <v>5088</v>
      </c>
      <c r="D47" s="2214" t="s">
        <v>3062</v>
      </c>
      <c r="E47" s="35">
        <f t="shared" si="7"/>
        <v>0</v>
      </c>
      <c r="F47" s="36"/>
      <c r="G47" s="37">
        <f t="shared" si="8"/>
        <v>40.68</v>
      </c>
      <c r="H47" s="38">
        <f t="shared" si="9"/>
        <v>40.68</v>
      </c>
      <c r="I47" s="39">
        <v>40.68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5088</v>
      </c>
      <c r="AY47" s="42">
        <f t="shared" si="14"/>
        <v>11.33</v>
      </c>
      <c r="AZ47" s="35">
        <f t="shared" si="15"/>
        <v>40.68</v>
      </c>
      <c r="BA47" s="35">
        <f t="shared" si="16"/>
        <v>40.68</v>
      </c>
      <c r="BB47" s="35">
        <f t="shared" si="17"/>
        <v>40.68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v>5133</v>
      </c>
      <c r="D48" s="2214" t="s">
        <v>3062</v>
      </c>
      <c r="E48" s="35">
        <f t="shared" si="7"/>
        <v>0</v>
      </c>
      <c r="F48" s="36"/>
      <c r="G48" s="37">
        <f t="shared" si="8"/>
        <v>31.52</v>
      </c>
      <c r="H48" s="38">
        <f t="shared" si="9"/>
        <v>31.52</v>
      </c>
      <c r="I48" s="39">
        <v>31.52</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5133</v>
      </c>
      <c r="AY48" s="42">
        <f t="shared" si="14"/>
        <v>8.7799999999999994</v>
      </c>
      <c r="AZ48" s="35">
        <f t="shared" si="15"/>
        <v>31.52</v>
      </c>
      <c r="BA48" s="35">
        <f t="shared" si="16"/>
        <v>31.52</v>
      </c>
      <c r="BB48" s="35">
        <f t="shared" si="17"/>
        <v>31.52</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v>5134</v>
      </c>
      <c r="D49" s="2214" t="s">
        <v>3062</v>
      </c>
      <c r="E49" s="35">
        <f t="shared" si="7"/>
        <v>0</v>
      </c>
      <c r="F49" s="36"/>
      <c r="G49" s="37">
        <f t="shared" si="8"/>
        <v>36.020000000000003</v>
      </c>
      <c r="H49" s="38">
        <f t="shared" si="9"/>
        <v>36.020000000000003</v>
      </c>
      <c r="I49" s="39">
        <v>36.020000000000003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5134</v>
      </c>
      <c r="AY49" s="42">
        <f t="shared" si="14"/>
        <v>10.029999999999999</v>
      </c>
      <c r="AZ49" s="35">
        <f t="shared" si="15"/>
        <v>36.020000000000003</v>
      </c>
      <c r="BA49" s="35">
        <f t="shared" si="16"/>
        <v>36.020000000000003</v>
      </c>
      <c r="BB49" s="35">
        <f t="shared" si="17"/>
        <v>36.020000000000003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4">
        <v>5135</v>
      </c>
      <c r="D50" s="2214" t="s">
        <v>3062</v>
      </c>
      <c r="E50" s="35">
        <f t="shared" si="7"/>
        <v>0</v>
      </c>
      <c r="F50" s="36"/>
      <c r="G50" s="37">
        <f t="shared" si="8"/>
        <v>34.89</v>
      </c>
      <c r="H50" s="38">
        <f t="shared" si="9"/>
        <v>34.89</v>
      </c>
      <c r="I50" s="39">
        <v>34.89</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5135</v>
      </c>
      <c r="AY50" s="42">
        <f t="shared" si="14"/>
        <v>9.7200000000000006</v>
      </c>
      <c r="AZ50" s="35">
        <f t="shared" si="15"/>
        <v>34.89</v>
      </c>
      <c r="BA50" s="35">
        <f t="shared" si="16"/>
        <v>34.89</v>
      </c>
      <c r="BB50" s="35">
        <f t="shared" si="17"/>
        <v>34.89</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v>5152</v>
      </c>
      <c r="D51" s="2214" t="s">
        <v>3062</v>
      </c>
      <c r="E51" s="35">
        <f t="shared" si="7"/>
        <v>0</v>
      </c>
      <c r="F51" s="36"/>
      <c r="G51" s="37">
        <f t="shared" si="8"/>
        <v>37.14</v>
      </c>
      <c r="H51" s="38">
        <f t="shared" si="9"/>
        <v>37.14</v>
      </c>
      <c r="I51" s="39">
        <v>37.14</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5152</v>
      </c>
      <c r="AY51" s="42">
        <f t="shared" si="14"/>
        <v>10.34</v>
      </c>
      <c r="AZ51" s="35">
        <f t="shared" si="15"/>
        <v>37.14</v>
      </c>
      <c r="BA51" s="35">
        <f t="shared" si="16"/>
        <v>37.14</v>
      </c>
      <c r="BB51" s="35">
        <f t="shared" si="17"/>
        <v>37.14</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v>5153</v>
      </c>
      <c r="D52" s="2214" t="s">
        <v>3062</v>
      </c>
      <c r="E52" s="35">
        <f t="shared" si="7"/>
        <v>0</v>
      </c>
      <c r="F52" s="36"/>
      <c r="G52" s="37">
        <f t="shared" si="8"/>
        <v>45.69</v>
      </c>
      <c r="H52" s="38">
        <f t="shared" si="9"/>
        <v>45.69</v>
      </c>
      <c r="I52" s="39">
        <v>45.69</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5153</v>
      </c>
      <c r="AY52" s="42">
        <f t="shared" si="14"/>
        <v>12.72</v>
      </c>
      <c r="AZ52" s="35">
        <f t="shared" si="15"/>
        <v>45.69</v>
      </c>
      <c r="BA52" s="35">
        <f t="shared" si="16"/>
        <v>45.69</v>
      </c>
      <c r="BB52" s="35">
        <f t="shared" si="17"/>
        <v>45.69</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v>5154</v>
      </c>
      <c r="D53" s="2214" t="s">
        <v>3062</v>
      </c>
      <c r="E53" s="35">
        <f t="shared" si="7"/>
        <v>0</v>
      </c>
      <c r="F53" s="36"/>
      <c r="G53" s="37">
        <f t="shared" si="8"/>
        <v>50.73</v>
      </c>
      <c r="H53" s="38">
        <f t="shared" si="9"/>
        <v>50.73</v>
      </c>
      <c r="I53" s="39">
        <v>50.73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5154</v>
      </c>
      <c r="AY53" s="42">
        <f t="shared" si="14"/>
        <v>14.13</v>
      </c>
      <c r="AZ53" s="35">
        <f t="shared" si="15"/>
        <v>50.73</v>
      </c>
      <c r="BA53" s="35">
        <f t="shared" si="16"/>
        <v>50.73</v>
      </c>
      <c r="BB53" s="35">
        <f t="shared" si="17"/>
        <v>50.73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v>5155</v>
      </c>
      <c r="D54" s="2214" t="s">
        <v>3062</v>
      </c>
      <c r="E54" s="35">
        <f t="shared" si="7"/>
        <v>0</v>
      </c>
      <c r="F54" s="36"/>
      <c r="G54" s="37">
        <f t="shared" si="8"/>
        <v>49.17</v>
      </c>
      <c r="H54" s="38">
        <f t="shared" si="9"/>
        <v>49.17</v>
      </c>
      <c r="I54" s="39">
        <v>49.17</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5155</v>
      </c>
      <c r="AY54" s="42">
        <f t="shared" si="14"/>
        <v>13.69</v>
      </c>
      <c r="AZ54" s="35">
        <f t="shared" si="15"/>
        <v>49.17</v>
      </c>
      <c r="BA54" s="35">
        <f t="shared" si="16"/>
        <v>49.17</v>
      </c>
      <c r="BB54" s="35">
        <f t="shared" si="17"/>
        <v>49.17</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4">
        <v>5156</v>
      </c>
      <c r="D55" s="2214" t="s">
        <v>3062</v>
      </c>
      <c r="E55" s="35">
        <f t="shared" si="7"/>
        <v>0</v>
      </c>
      <c r="F55" s="36"/>
      <c r="G55" s="37">
        <f t="shared" si="8"/>
        <v>44.44</v>
      </c>
      <c r="H55" s="38">
        <f t="shared" si="9"/>
        <v>44.44</v>
      </c>
      <c r="I55" s="39">
        <v>44.44</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5156</v>
      </c>
      <c r="AY55" s="42">
        <f t="shared" si="14"/>
        <v>12.38</v>
      </c>
      <c r="AZ55" s="35">
        <f t="shared" si="15"/>
        <v>44.44</v>
      </c>
      <c r="BA55" s="35">
        <f t="shared" si="16"/>
        <v>44.44</v>
      </c>
      <c r="BB55" s="35">
        <f t="shared" si="17"/>
        <v>44.44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4">
        <v>5157</v>
      </c>
      <c r="D56" s="2214" t="s">
        <v>3062</v>
      </c>
      <c r="E56" s="35">
        <f t="shared" si="7"/>
        <v>0</v>
      </c>
      <c r="F56" s="36"/>
      <c r="G56" s="37">
        <f t="shared" si="8"/>
        <v>59.76</v>
      </c>
      <c r="H56" s="38">
        <f t="shared" si="9"/>
        <v>59.76</v>
      </c>
      <c r="I56" s="39">
        <v>59.76</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5157</v>
      </c>
      <c r="AY56" s="42">
        <f t="shared" si="14"/>
        <v>16.64</v>
      </c>
      <c r="AZ56" s="35">
        <f t="shared" si="15"/>
        <v>59.76</v>
      </c>
      <c r="BA56" s="35">
        <f t="shared" si="16"/>
        <v>59.76</v>
      </c>
      <c r="BB56" s="35">
        <f t="shared" si="17"/>
        <v>59.76</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v>5158</v>
      </c>
      <c r="D57" s="2214" t="s">
        <v>3062</v>
      </c>
      <c r="E57" s="35">
        <f t="shared" si="7"/>
        <v>0</v>
      </c>
      <c r="F57" s="36"/>
      <c r="G57" s="37">
        <f t="shared" si="8"/>
        <v>36.340000000000003</v>
      </c>
      <c r="H57" s="38">
        <f t="shared" si="9"/>
        <v>36.340000000000003</v>
      </c>
      <c r="I57" s="39">
        <v>36.340000000000003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5158</v>
      </c>
      <c r="AY57" s="42">
        <f t="shared" si="14"/>
        <v>10.119999999999999</v>
      </c>
      <c r="AZ57" s="35">
        <f t="shared" si="15"/>
        <v>36.340000000000003</v>
      </c>
      <c r="BA57" s="35">
        <f t="shared" si="16"/>
        <v>36.340000000000003</v>
      </c>
      <c r="BB57" s="35">
        <f t="shared" si="17"/>
        <v>36.340000000000003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v>5159</v>
      </c>
      <c r="D58" s="2214" t="s">
        <v>3062</v>
      </c>
      <c r="E58" s="35">
        <f t="shared" si="7"/>
        <v>0</v>
      </c>
      <c r="F58" s="36"/>
      <c r="G58" s="37">
        <f t="shared" si="8"/>
        <v>47.9</v>
      </c>
      <c r="H58" s="38">
        <f t="shared" si="9"/>
        <v>47.9</v>
      </c>
      <c r="I58" s="39">
        <v>47.9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5159</v>
      </c>
      <c r="AY58" s="42">
        <f t="shared" si="14"/>
        <v>13.34</v>
      </c>
      <c r="AZ58" s="35">
        <f t="shared" si="15"/>
        <v>47.9</v>
      </c>
      <c r="BA58" s="35">
        <f t="shared" si="16"/>
        <v>47.9</v>
      </c>
      <c r="BB58" s="35">
        <f t="shared" si="17"/>
        <v>47.9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v>5160</v>
      </c>
      <c r="D59" s="2214" t="s">
        <v>3062</v>
      </c>
      <c r="E59" s="35">
        <f t="shared" si="7"/>
        <v>0</v>
      </c>
      <c r="F59" s="36"/>
      <c r="G59" s="37">
        <f t="shared" si="8"/>
        <v>36.520000000000003</v>
      </c>
      <c r="H59" s="38">
        <f t="shared" si="9"/>
        <v>36.520000000000003</v>
      </c>
      <c r="I59" s="39">
        <v>36.520000000000003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5160</v>
      </c>
      <c r="AY59" s="42">
        <f t="shared" si="14"/>
        <v>10.17</v>
      </c>
      <c r="AZ59" s="35">
        <f t="shared" si="15"/>
        <v>36.520000000000003</v>
      </c>
      <c r="BA59" s="35">
        <f t="shared" si="16"/>
        <v>36.520000000000003</v>
      </c>
      <c r="BB59" s="35">
        <f t="shared" si="17"/>
        <v>36.520000000000003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v>5161</v>
      </c>
      <c r="D60" s="2214" t="s">
        <v>3062</v>
      </c>
      <c r="E60" s="35">
        <f t="shared" si="7"/>
        <v>0</v>
      </c>
      <c r="F60" s="36"/>
      <c r="G60" s="37">
        <f t="shared" si="8"/>
        <v>30.43</v>
      </c>
      <c r="H60" s="38">
        <f t="shared" si="9"/>
        <v>30.43</v>
      </c>
      <c r="I60" s="39">
        <v>30.43</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5161</v>
      </c>
      <c r="AY60" s="42">
        <f t="shared" si="14"/>
        <v>8.4700000000000006</v>
      </c>
      <c r="AZ60" s="35">
        <f t="shared" si="15"/>
        <v>30.43</v>
      </c>
      <c r="BA60" s="35">
        <f t="shared" si="16"/>
        <v>30.43</v>
      </c>
      <c r="BB60" s="35">
        <f t="shared" si="17"/>
        <v>30.43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4">
        <v>5170</v>
      </c>
      <c r="D61" s="2214" t="s">
        <v>3062</v>
      </c>
      <c r="E61" s="35">
        <f t="shared" si="7"/>
        <v>0</v>
      </c>
      <c r="F61" s="36"/>
      <c r="G61" s="37">
        <f t="shared" si="8"/>
        <v>36.520000000000003</v>
      </c>
      <c r="H61" s="38">
        <f t="shared" si="9"/>
        <v>36.520000000000003</v>
      </c>
      <c r="I61" s="39">
        <v>36.520000000000003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5170</v>
      </c>
      <c r="AY61" s="42">
        <f t="shared" si="14"/>
        <v>10.17</v>
      </c>
      <c r="AZ61" s="35">
        <f t="shared" si="15"/>
        <v>36.520000000000003</v>
      </c>
      <c r="BA61" s="35">
        <f t="shared" si="16"/>
        <v>36.520000000000003</v>
      </c>
      <c r="BB61" s="35">
        <f t="shared" si="17"/>
        <v>36.520000000000003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v>5197</v>
      </c>
      <c r="D62" s="2214" t="s">
        <v>3062</v>
      </c>
      <c r="E62" s="35">
        <f t="shared" si="7"/>
        <v>0</v>
      </c>
      <c r="F62" s="36"/>
      <c r="G62" s="37">
        <f t="shared" si="8"/>
        <v>38.18</v>
      </c>
      <c r="H62" s="38">
        <f t="shared" si="9"/>
        <v>38.18</v>
      </c>
      <c r="I62" s="39">
        <v>38.18</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5197</v>
      </c>
      <c r="AY62" s="42">
        <f t="shared" si="14"/>
        <v>10.63</v>
      </c>
      <c r="AZ62" s="35">
        <f t="shared" si="15"/>
        <v>38.18</v>
      </c>
      <c r="BA62" s="35">
        <f t="shared" si="16"/>
        <v>38.18</v>
      </c>
      <c r="BB62" s="35">
        <f t="shared" si="17"/>
        <v>38.18</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v>5198</v>
      </c>
      <c r="D63" s="2214" t="s">
        <v>3062</v>
      </c>
      <c r="E63" s="35">
        <f t="shared" si="7"/>
        <v>0</v>
      </c>
      <c r="F63" s="36"/>
      <c r="G63" s="37">
        <f t="shared" si="8"/>
        <v>38.18</v>
      </c>
      <c r="H63" s="38">
        <f t="shared" si="9"/>
        <v>38.18</v>
      </c>
      <c r="I63" s="39">
        <v>38.18</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5198</v>
      </c>
      <c r="AY63" s="42">
        <f t="shared" si="14"/>
        <v>10.63</v>
      </c>
      <c r="AZ63" s="35">
        <f t="shared" si="15"/>
        <v>38.18</v>
      </c>
      <c r="BA63" s="35">
        <f t="shared" si="16"/>
        <v>38.18</v>
      </c>
      <c r="BB63" s="35">
        <f t="shared" si="17"/>
        <v>38.18</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v>5199</v>
      </c>
      <c r="D64" s="2214" t="s">
        <v>3062</v>
      </c>
      <c r="E64" s="35">
        <f t="shared" si="7"/>
        <v>0</v>
      </c>
      <c r="F64" s="36"/>
      <c r="G64" s="37">
        <f t="shared" si="8"/>
        <v>41.82</v>
      </c>
      <c r="H64" s="38">
        <f t="shared" si="9"/>
        <v>41.82</v>
      </c>
      <c r="I64" s="39">
        <v>41.82</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5199</v>
      </c>
      <c r="AY64" s="42">
        <f t="shared" si="14"/>
        <v>11.65</v>
      </c>
      <c r="AZ64" s="35">
        <f t="shared" si="15"/>
        <v>41.82</v>
      </c>
      <c r="BA64" s="35">
        <f t="shared" si="16"/>
        <v>41.82</v>
      </c>
      <c r="BB64" s="35">
        <f t="shared" si="17"/>
        <v>41.82</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v>5260</v>
      </c>
      <c r="D65" s="2214" t="s">
        <v>3062</v>
      </c>
      <c r="E65" s="35">
        <f t="shared" si="7"/>
        <v>0</v>
      </c>
      <c r="F65" s="36"/>
      <c r="G65" s="37">
        <f t="shared" si="8"/>
        <v>51.46</v>
      </c>
      <c r="H65" s="38">
        <f t="shared" si="9"/>
        <v>51.46</v>
      </c>
      <c r="I65" s="39">
        <v>51.46</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5260</v>
      </c>
      <c r="AY65" s="42">
        <f t="shared" si="14"/>
        <v>14.33</v>
      </c>
      <c r="AZ65" s="35">
        <f t="shared" si="15"/>
        <v>51.46</v>
      </c>
      <c r="BA65" s="35">
        <f t="shared" si="16"/>
        <v>51.46</v>
      </c>
      <c r="BB65" s="35">
        <f t="shared" si="17"/>
        <v>51.46</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v>5261</v>
      </c>
      <c r="D66" s="2214" t="s">
        <v>3062</v>
      </c>
      <c r="E66" s="35">
        <f t="shared" si="7"/>
        <v>0</v>
      </c>
      <c r="F66" s="36"/>
      <c r="G66" s="37">
        <f t="shared" si="8"/>
        <v>41.5</v>
      </c>
      <c r="H66" s="38">
        <f t="shared" si="9"/>
        <v>41.5</v>
      </c>
      <c r="I66" s="39">
        <v>41.5</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5261</v>
      </c>
      <c r="AY66" s="42">
        <f t="shared" si="14"/>
        <v>11.56</v>
      </c>
      <c r="AZ66" s="35">
        <f t="shared" si="15"/>
        <v>41.5</v>
      </c>
      <c r="BA66" s="35">
        <f t="shared" si="16"/>
        <v>41.5</v>
      </c>
      <c r="BB66" s="35">
        <f t="shared" si="17"/>
        <v>41.5</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v>5262</v>
      </c>
      <c r="D67" s="2214" t="s">
        <v>3062</v>
      </c>
      <c r="E67" s="35">
        <f t="shared" si="7"/>
        <v>0</v>
      </c>
      <c r="F67" s="36"/>
      <c r="G67" s="37">
        <f t="shared" si="8"/>
        <v>35.97</v>
      </c>
      <c r="H67" s="38">
        <f t="shared" si="9"/>
        <v>35.97</v>
      </c>
      <c r="I67" s="39">
        <v>35.97</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5262</v>
      </c>
      <c r="AY67" s="42">
        <f t="shared" si="14"/>
        <v>10.02</v>
      </c>
      <c r="AZ67" s="35">
        <f t="shared" si="15"/>
        <v>35.97</v>
      </c>
      <c r="BA67" s="35">
        <f t="shared" si="16"/>
        <v>35.97</v>
      </c>
      <c r="BB67" s="35">
        <f t="shared" si="17"/>
        <v>35.97</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4">
        <v>5283</v>
      </c>
      <c r="D68" s="2214" t="s">
        <v>3062</v>
      </c>
      <c r="E68" s="35">
        <f t="shared" si="7"/>
        <v>0</v>
      </c>
      <c r="F68" s="36"/>
      <c r="G68" s="37">
        <f t="shared" si="8"/>
        <v>36.44</v>
      </c>
      <c r="H68" s="38">
        <f t="shared" si="9"/>
        <v>36.44</v>
      </c>
      <c r="I68" s="39">
        <v>36.44</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5283</v>
      </c>
      <c r="AY68" s="42">
        <f t="shared" si="14"/>
        <v>10.15</v>
      </c>
      <c r="AZ68" s="35">
        <f t="shared" si="15"/>
        <v>36.44</v>
      </c>
      <c r="BA68" s="35">
        <f t="shared" si="16"/>
        <v>36.44</v>
      </c>
      <c r="BB68" s="35">
        <f t="shared" si="17"/>
        <v>36.44</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v>5336</v>
      </c>
      <c r="D69" s="2214" t="s">
        <v>3062</v>
      </c>
      <c r="E69" s="35">
        <f t="shared" si="7"/>
        <v>0</v>
      </c>
      <c r="F69" s="36"/>
      <c r="G69" s="37">
        <f t="shared" si="8"/>
        <v>36.479999999999997</v>
      </c>
      <c r="H69" s="38">
        <f t="shared" si="9"/>
        <v>36.479999999999997</v>
      </c>
      <c r="I69" s="39">
        <v>36.479999999999997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5336</v>
      </c>
      <c r="AY69" s="42">
        <f t="shared" si="14"/>
        <v>10.16</v>
      </c>
      <c r="AZ69" s="35">
        <f t="shared" si="15"/>
        <v>36.479999999999997</v>
      </c>
      <c r="BA69" s="35">
        <f t="shared" si="16"/>
        <v>36.479999999999997</v>
      </c>
      <c r="BB69" s="35">
        <f t="shared" si="17"/>
        <v>36.479999999999997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v>6087</v>
      </c>
      <c r="D70" s="2214" t="s">
        <v>3062</v>
      </c>
      <c r="E70" s="35">
        <f t="shared" si="7"/>
        <v>0</v>
      </c>
      <c r="F70" s="36"/>
      <c r="G70" s="37">
        <f t="shared" si="8"/>
        <v>36.56</v>
      </c>
      <c r="H70" s="38">
        <f t="shared" si="9"/>
        <v>36.56</v>
      </c>
      <c r="I70" s="39">
        <v>36.56</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6087</v>
      </c>
      <c r="AY70" s="42">
        <f t="shared" si="14"/>
        <v>10.18</v>
      </c>
      <c r="AZ70" s="35">
        <f t="shared" si="15"/>
        <v>36.56</v>
      </c>
      <c r="BA70" s="35">
        <f t="shared" si="16"/>
        <v>36.56</v>
      </c>
      <c r="BB70" s="35">
        <f t="shared" si="17"/>
        <v>36.56</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v>6088</v>
      </c>
      <c r="D71" s="2214" t="s">
        <v>3062</v>
      </c>
      <c r="E71" s="35">
        <f t="shared" si="7"/>
        <v>0</v>
      </c>
      <c r="F71" s="36"/>
      <c r="G71" s="37">
        <f t="shared" si="8"/>
        <v>40.04</v>
      </c>
      <c r="H71" s="38">
        <f t="shared" si="9"/>
        <v>40.04</v>
      </c>
      <c r="I71" s="39">
        <v>40.04</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6088</v>
      </c>
      <c r="AY71" s="42">
        <f t="shared" si="14"/>
        <v>11.15</v>
      </c>
      <c r="AZ71" s="35">
        <f t="shared" si="15"/>
        <v>40.04</v>
      </c>
      <c r="BA71" s="35">
        <f t="shared" si="16"/>
        <v>40.04</v>
      </c>
      <c r="BB71" s="35">
        <f t="shared" si="17"/>
        <v>40.04</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v>6133</v>
      </c>
      <c r="D72" s="2214" t="s">
        <v>3062</v>
      </c>
      <c r="E72" s="35">
        <f t="shared" si="7"/>
        <v>0</v>
      </c>
      <c r="F72" s="36"/>
      <c r="G72" s="37">
        <f t="shared" si="8"/>
        <v>31.02</v>
      </c>
      <c r="H72" s="38">
        <f t="shared" si="9"/>
        <v>31.02</v>
      </c>
      <c r="I72" s="39">
        <v>31.02</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6133</v>
      </c>
      <c r="AY72" s="42">
        <f t="shared" si="14"/>
        <v>8.64</v>
      </c>
      <c r="AZ72" s="35">
        <f t="shared" si="15"/>
        <v>31.02</v>
      </c>
      <c r="BA72" s="35">
        <f t="shared" si="16"/>
        <v>31.02</v>
      </c>
      <c r="BB72" s="35">
        <f t="shared" si="17"/>
        <v>31.02</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4">
        <v>6134</v>
      </c>
      <c r="D73" s="2214" t="s">
        <v>3062</v>
      </c>
      <c r="E73" s="35">
        <f t="shared" si="7"/>
        <v>0</v>
      </c>
      <c r="F73" s="36"/>
      <c r="G73" s="37">
        <f t="shared" si="8"/>
        <v>35.450000000000003</v>
      </c>
      <c r="H73" s="38">
        <f t="shared" si="9"/>
        <v>35.450000000000003</v>
      </c>
      <c r="I73" s="39">
        <v>35.450000000000003</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6134</v>
      </c>
      <c r="AY73" s="42">
        <f t="shared" si="14"/>
        <v>9.8699999999999992</v>
      </c>
      <c r="AZ73" s="35">
        <f t="shared" si="15"/>
        <v>35.450000000000003</v>
      </c>
      <c r="BA73" s="35">
        <f t="shared" si="16"/>
        <v>35.450000000000003</v>
      </c>
      <c r="BB73" s="35">
        <f t="shared" si="17"/>
        <v>35.450000000000003</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v>6135</v>
      </c>
      <c r="D74" s="2214" t="s">
        <v>3062</v>
      </c>
      <c r="E74" s="35">
        <f t="shared" si="7"/>
        <v>0</v>
      </c>
      <c r="F74" s="36"/>
      <c r="G74" s="37">
        <f t="shared" si="8"/>
        <v>34.35</v>
      </c>
      <c r="H74" s="38">
        <f t="shared" si="9"/>
        <v>34.35</v>
      </c>
      <c r="I74" s="39">
        <v>34.35</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6135</v>
      </c>
      <c r="AY74" s="42">
        <f t="shared" si="14"/>
        <v>9.57</v>
      </c>
      <c r="AZ74" s="35">
        <f t="shared" si="15"/>
        <v>34.35</v>
      </c>
      <c r="BA74" s="35">
        <f t="shared" si="16"/>
        <v>34.35</v>
      </c>
      <c r="BB74" s="35">
        <f t="shared" si="17"/>
        <v>34.35</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v>6218</v>
      </c>
      <c r="D75" s="2214" t="s">
        <v>3062</v>
      </c>
      <c r="E75" s="35">
        <f t="shared" si="7"/>
        <v>0</v>
      </c>
      <c r="F75" s="36"/>
      <c r="G75" s="37">
        <f t="shared" si="8"/>
        <v>35.79</v>
      </c>
      <c r="H75" s="38">
        <f t="shared" si="9"/>
        <v>35.79</v>
      </c>
      <c r="I75" s="39">
        <v>35.79</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6218</v>
      </c>
      <c r="AY75" s="42">
        <f t="shared" si="14"/>
        <v>9.9700000000000006</v>
      </c>
      <c r="AZ75" s="35">
        <f t="shared" si="15"/>
        <v>35.79</v>
      </c>
      <c r="BA75" s="35">
        <f t="shared" si="16"/>
        <v>35.79</v>
      </c>
      <c r="BB75" s="35">
        <f t="shared" si="17"/>
        <v>35.79</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v>6249</v>
      </c>
      <c r="D76" s="2214" t="s">
        <v>3062</v>
      </c>
      <c r="E76" s="35">
        <f t="shared" si="7"/>
        <v>0</v>
      </c>
      <c r="F76" s="36"/>
      <c r="G76" s="37">
        <f t="shared" si="8"/>
        <v>6834.53</v>
      </c>
      <c r="H76" s="38">
        <f t="shared" si="9"/>
        <v>6834.53</v>
      </c>
      <c r="I76" s="39">
        <v>6834.53</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6249</v>
      </c>
      <c r="AY76" s="42">
        <f t="shared" si="14"/>
        <v>1903.35</v>
      </c>
      <c r="AZ76" s="35">
        <f t="shared" si="15"/>
        <v>6834.53</v>
      </c>
      <c r="BA76" s="35">
        <f t="shared" si="16"/>
        <v>6834.53</v>
      </c>
      <c r="BB76" s="35">
        <f t="shared" si="17"/>
        <v>6834.53</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v>-1001</v>
      </c>
      <c r="D77" s="2214" t="s">
        <v>3062</v>
      </c>
      <c r="E77" s="35">
        <f t="shared" si="7"/>
        <v>0</v>
      </c>
      <c r="F77" s="36"/>
      <c r="G77" s="37">
        <f t="shared" si="8"/>
        <v>1545.37</v>
      </c>
      <c r="H77" s="38">
        <f>SUMIF(I$12:AB$12,"总值",I77:AB77)</f>
        <v>1545.37</v>
      </c>
      <c r="I77" s="39"/>
      <c r="J77" s="39"/>
      <c r="K77" s="39">
        <v>1545.37</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-1001</v>
      </c>
      <c r="AY77" s="42">
        <f t="shared" si="14"/>
        <v>430.37</v>
      </c>
      <c r="AZ77" s="35">
        <f t="shared" si="15"/>
        <v>1545.37</v>
      </c>
      <c r="BA77" s="35">
        <f t="shared" si="16"/>
        <v>1545.37</v>
      </c>
      <c r="BB77" s="35">
        <f>IF($D77="是",I77-J77,0)</f>
        <v>0</v>
      </c>
      <c r="BC77" s="35">
        <f>IF($D77="是",K77-L77,0)</f>
        <v>1545.37</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v>-1002</v>
      </c>
      <c r="D78" s="2214" t="s">
        <v>3062</v>
      </c>
      <c r="E78" s="35">
        <f t="shared" si="7"/>
        <v>0</v>
      </c>
      <c r="F78" s="36"/>
      <c r="G78" s="37">
        <f t="shared" si="8"/>
        <v>940.27</v>
      </c>
      <c r="H78" s="38">
        <f>SUMIF(I$12:AB$12,"总值",I78:AB78)</f>
        <v>940.27</v>
      </c>
      <c r="I78" s="39"/>
      <c r="J78" s="39"/>
      <c r="K78" s="39">
        <v>940.27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-1002</v>
      </c>
      <c r="AY78" s="42">
        <f t="shared" si="14"/>
        <v>261.86</v>
      </c>
      <c r="AZ78" s="35">
        <f t="shared" si="15"/>
        <v>940.27</v>
      </c>
      <c r="BA78" s="35">
        <f t="shared" si="16"/>
        <v>940.27</v>
      </c>
      <c r="BB78" s="35">
        <f>IF($D78="是",I78-J78,0)</f>
        <v>0</v>
      </c>
      <c r="BC78" s="35">
        <f>IF($D78="是",K78-L78,0)</f>
        <v>940.27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v>-1003</v>
      </c>
      <c r="D79" s="2214" t="s">
        <v>3062</v>
      </c>
      <c r="E79" s="35">
        <f t="shared" si="7"/>
        <v>0</v>
      </c>
      <c r="F79" s="36"/>
      <c r="G79" s="37">
        <f t="shared" si="8"/>
        <v>1013.83</v>
      </c>
      <c r="H79" s="38">
        <f>SUMIF(I$12:AB$12,"总值",I79:AB79)</f>
        <v>1013.83</v>
      </c>
      <c r="I79" s="39"/>
      <c r="J79" s="39"/>
      <c r="K79" s="39">
        <v>1013.83</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-1003</v>
      </c>
      <c r="AY79" s="42">
        <f t="shared" si="14"/>
        <v>282.33999999999997</v>
      </c>
      <c r="AZ79" s="35">
        <f t="shared" si="15"/>
        <v>1013.83</v>
      </c>
      <c r="BA79" s="35">
        <f t="shared" si="16"/>
        <v>1013.83</v>
      </c>
      <c r="BB79" s="35">
        <f>IF($D79="是",I79-J79,0)</f>
        <v>0</v>
      </c>
      <c r="BC79" s="35">
        <f>IF($D79="是",K79-L79,0)</f>
        <v>1013.83</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v>-1004</v>
      </c>
      <c r="D80" s="2214" t="s">
        <v>3062</v>
      </c>
      <c r="E80" s="35">
        <f t="shared" si="7"/>
        <v>0</v>
      </c>
      <c r="F80" s="36"/>
      <c r="G80" s="37">
        <f t="shared" si="8"/>
        <v>810.82</v>
      </c>
      <c r="H80" s="38">
        <f>SUMIF(I$12:AB$12,"总值",I80:AB80)</f>
        <v>810.82</v>
      </c>
      <c r="I80" s="39"/>
      <c r="J80" s="39"/>
      <c r="K80" s="39">
        <v>810.82</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-1004</v>
      </c>
      <c r="AY80" s="42">
        <f t="shared" si="14"/>
        <v>225.81</v>
      </c>
      <c r="AZ80" s="35">
        <f t="shared" si="15"/>
        <v>810.82</v>
      </c>
      <c r="BA80" s="35">
        <f t="shared" si="16"/>
        <v>810.82</v>
      </c>
      <c r="BB80" s="35">
        <f>IF($D80="是",I80-J80,0)</f>
        <v>0</v>
      </c>
      <c r="BC80" s="35">
        <f>IF($D80="是",K80-L80,0)</f>
        <v>810.82</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v>1005</v>
      </c>
      <c r="D81" s="2219" t="s">
        <v>3062</v>
      </c>
      <c r="E81" s="35">
        <f t="shared" si="7"/>
        <v>0</v>
      </c>
      <c r="F81" s="36"/>
      <c r="G81" s="37">
        <f t="shared" si="8"/>
        <v>38.950000000000003</v>
      </c>
      <c r="H81" s="38">
        <f t="shared" si="9"/>
        <v>38.950000000000003</v>
      </c>
      <c r="I81" s="39">
        <v>38.950000000000003</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1005</v>
      </c>
      <c r="AY81" s="42">
        <f t="shared" si="14"/>
        <v>10.85</v>
      </c>
      <c r="AZ81" s="35">
        <f t="shared" si="15"/>
        <v>38.950000000000003</v>
      </c>
      <c r="BA81" s="35">
        <f t="shared" si="16"/>
        <v>38.950000000000003</v>
      </c>
      <c r="BB81" s="35">
        <f t="shared" si="17"/>
        <v>38.950000000000003</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v>1013</v>
      </c>
      <c r="D83" s="2219" t="s">
        <v>3062</v>
      </c>
      <c r="E83" s="35">
        <f t="shared" si="7"/>
        <v>0</v>
      </c>
      <c r="F83" s="36"/>
      <c r="G83" s="37">
        <f t="shared" si="8"/>
        <v>3.78</v>
      </c>
      <c r="H83" s="38">
        <f t="shared" si="9"/>
        <v>3.78</v>
      </c>
      <c r="I83" s="39">
        <v>3.78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1013</v>
      </c>
      <c r="AY83" s="42">
        <f t="shared" si="14"/>
        <v>1.05</v>
      </c>
      <c r="AZ83" s="35">
        <f t="shared" si="15"/>
        <v>3.78</v>
      </c>
      <c r="BA83" s="35">
        <f t="shared" si="16"/>
        <v>3.78</v>
      </c>
      <c r="BB83" s="35">
        <f t="shared" si="17"/>
        <v>3.78</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v>1355</v>
      </c>
      <c r="D84" s="2219" t="s">
        <v>3062</v>
      </c>
      <c r="E84" s="35">
        <f t="shared" si="7"/>
        <v>0</v>
      </c>
      <c r="F84" s="36"/>
      <c r="G84" s="37">
        <f t="shared" si="8"/>
        <v>13.26</v>
      </c>
      <c r="H84" s="38">
        <f t="shared" si="9"/>
        <v>13.26</v>
      </c>
      <c r="I84" s="39">
        <v>13.26</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1355</v>
      </c>
      <c r="AY84" s="42">
        <f t="shared" si="14"/>
        <v>3.69</v>
      </c>
      <c r="AZ84" s="35">
        <f t="shared" si="15"/>
        <v>13.26</v>
      </c>
      <c r="BA84" s="35">
        <f t="shared" si="16"/>
        <v>13.26</v>
      </c>
      <c r="BB84" s="35">
        <f t="shared" si="17"/>
        <v>13.26</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84"/>
  <sheetViews>
    <sheetView workbookViewId="0">
      <selection activeCell="O75" sqref="O75"/>
    </sheetView>
  </sheetViews>
  <sheetFormatPr defaultRowHeight="13.5"/>
  <cols>
    <col min="12" max="12" width="5.25" bestFit="1" customWidth="1"/>
    <col min="13" max="13" width="9.75" bestFit="1" customWidth="1"/>
    <col min="15" max="15" width="10.5" bestFit="1" customWidth="1"/>
  </cols>
  <sheetData>
    <row r="3" spans="2:16">
      <c r="D3" s="2956" t="s">
        <v>3064</v>
      </c>
      <c r="E3" s="2956" t="s">
        <v>3066</v>
      </c>
      <c r="F3" s="2956" t="s">
        <v>3065</v>
      </c>
      <c r="J3" s="2965" t="s">
        <v>3121</v>
      </c>
      <c r="K3" s="2966" t="s">
        <v>3122</v>
      </c>
      <c r="L3" s="2967" t="s">
        <v>3123</v>
      </c>
      <c r="M3" s="2966" t="s">
        <v>3124</v>
      </c>
      <c r="N3" s="2966" t="s">
        <v>3125</v>
      </c>
      <c r="O3" s="2966" t="s">
        <v>3126</v>
      </c>
      <c r="P3" s="2966" t="s">
        <v>3127</v>
      </c>
    </row>
    <row r="4" spans="2:16" ht="45">
      <c r="D4">
        <v>-1004</v>
      </c>
      <c r="E4">
        <v>810.82</v>
      </c>
      <c r="F4">
        <v>810.82</v>
      </c>
      <c r="J4" s="2968">
        <v>68</v>
      </c>
      <c r="K4" s="2968" t="s">
        <v>3128</v>
      </c>
      <c r="L4" s="2968">
        <v>-1001</v>
      </c>
      <c r="M4" s="2969" t="s">
        <v>3208</v>
      </c>
      <c r="N4" s="2970">
        <v>1545.37</v>
      </c>
      <c r="O4" s="2970">
        <v>1545.37</v>
      </c>
      <c r="P4" s="2968" t="s">
        <v>3209</v>
      </c>
    </row>
    <row r="5" spans="2:16" ht="45">
      <c r="D5">
        <v>-1003</v>
      </c>
      <c r="E5">
        <v>1013.83</v>
      </c>
      <c r="F5">
        <v>1013.83</v>
      </c>
      <c r="J5" s="2968">
        <v>69</v>
      </c>
      <c r="K5" s="2968" t="s">
        <v>3128</v>
      </c>
      <c r="L5" s="2968">
        <v>-1002</v>
      </c>
      <c r="M5" s="2969" t="s">
        <v>3210</v>
      </c>
      <c r="N5" s="2968">
        <v>940.27</v>
      </c>
      <c r="O5" s="2968">
        <v>940.27</v>
      </c>
      <c r="P5" s="2968" t="s">
        <v>3211</v>
      </c>
    </row>
    <row r="6" spans="2:16" ht="45">
      <c r="D6">
        <v>-1002</v>
      </c>
      <c r="E6">
        <v>940.27</v>
      </c>
      <c r="F6">
        <v>940.27</v>
      </c>
      <c r="J6" s="2968">
        <v>70</v>
      </c>
      <c r="K6" s="2968" t="s">
        <v>3128</v>
      </c>
      <c r="L6" s="2968">
        <v>-1003</v>
      </c>
      <c r="M6" s="2969" t="s">
        <v>3212</v>
      </c>
      <c r="N6" s="2970">
        <v>1013.83</v>
      </c>
      <c r="O6" s="2970">
        <v>1013.83</v>
      </c>
      <c r="P6" s="2968" t="s">
        <v>3213</v>
      </c>
    </row>
    <row r="7" spans="2:16" ht="45">
      <c r="D7">
        <v>-1001</v>
      </c>
      <c r="E7">
        <v>1545.37</v>
      </c>
      <c r="F7">
        <v>1545.37</v>
      </c>
      <c r="J7" s="2968">
        <v>71</v>
      </c>
      <c r="K7" s="2968" t="s">
        <v>3128</v>
      </c>
      <c r="L7" s="2968">
        <v>-1004</v>
      </c>
      <c r="M7" s="2969" t="s">
        <v>3214</v>
      </c>
      <c r="N7" s="2968">
        <v>810.82</v>
      </c>
      <c r="O7" s="2968">
        <v>810.82</v>
      </c>
      <c r="P7" s="2968" t="s">
        <v>3215</v>
      </c>
    </row>
    <row r="8" spans="2:16" ht="56.25">
      <c r="B8">
        <f>D8-L8</f>
        <v>0</v>
      </c>
      <c r="C8">
        <v>1064</v>
      </c>
      <c r="D8">
        <v>1064</v>
      </c>
      <c r="E8">
        <v>9.9700000000000006</v>
      </c>
      <c r="F8">
        <v>54.79</v>
      </c>
      <c r="J8" s="2968">
        <v>5</v>
      </c>
      <c r="K8" s="2968" t="s">
        <v>3128</v>
      </c>
      <c r="L8" s="2968">
        <v>1064</v>
      </c>
      <c r="M8" s="2969" t="s">
        <v>3137</v>
      </c>
      <c r="N8" s="2968">
        <v>54.79</v>
      </c>
      <c r="O8" s="2968">
        <v>9.9700000000000006</v>
      </c>
      <c r="P8" s="2968" t="s">
        <v>3138</v>
      </c>
    </row>
    <row r="9" spans="2:16" ht="56.25">
      <c r="B9">
        <f t="shared" ref="B9:B70" si="0">D9-L9</f>
        <v>0</v>
      </c>
      <c r="C9">
        <v>1071</v>
      </c>
      <c r="D9">
        <v>1071</v>
      </c>
      <c r="E9">
        <v>8.3800000000000008</v>
      </c>
      <c r="F9">
        <v>46.03</v>
      </c>
      <c r="J9" s="2968">
        <v>6</v>
      </c>
      <c r="K9" s="2968" t="s">
        <v>3128</v>
      </c>
      <c r="L9" s="2968">
        <v>1071</v>
      </c>
      <c r="M9" s="2969" t="s">
        <v>3137</v>
      </c>
      <c r="N9" s="2968">
        <v>46.03</v>
      </c>
      <c r="O9" s="2968">
        <v>8.3800000000000008</v>
      </c>
      <c r="P9" s="2968" t="s">
        <v>3139</v>
      </c>
    </row>
    <row r="10" spans="2:16" ht="56.25">
      <c r="B10">
        <f t="shared" si="0"/>
        <v>0</v>
      </c>
      <c r="C10">
        <v>1072</v>
      </c>
      <c r="D10">
        <v>1072</v>
      </c>
      <c r="E10">
        <v>8.3800000000000008</v>
      </c>
      <c r="F10">
        <v>46.03</v>
      </c>
      <c r="J10" s="2968">
        <v>7</v>
      </c>
      <c r="K10" s="2968" t="s">
        <v>3128</v>
      </c>
      <c r="L10" s="2968">
        <v>1072</v>
      </c>
      <c r="M10" s="2969" t="s">
        <v>3137</v>
      </c>
      <c r="N10" s="2968">
        <v>46.03</v>
      </c>
      <c r="O10" s="2968">
        <v>8.3800000000000008</v>
      </c>
      <c r="P10" s="2968" t="s">
        <v>3140</v>
      </c>
    </row>
    <row r="11" spans="2:16" ht="45">
      <c r="B11">
        <f t="shared" si="0"/>
        <v>0</v>
      </c>
      <c r="C11">
        <v>1174</v>
      </c>
      <c r="D11">
        <v>1174</v>
      </c>
      <c r="E11">
        <v>4.57</v>
      </c>
      <c r="F11">
        <v>25.12</v>
      </c>
      <c r="J11" s="2968">
        <v>8</v>
      </c>
      <c r="K11" s="2968" t="s">
        <v>3128</v>
      </c>
      <c r="L11" s="2968">
        <v>1174</v>
      </c>
      <c r="M11" s="2969" t="s">
        <v>3141</v>
      </c>
      <c r="N11" s="2968">
        <v>25.12</v>
      </c>
      <c r="O11" s="2968">
        <v>4.57</v>
      </c>
      <c r="P11" s="2968" t="s">
        <v>3142</v>
      </c>
    </row>
    <row r="12" spans="2:16" ht="45">
      <c r="B12">
        <f t="shared" si="0"/>
        <v>0</v>
      </c>
      <c r="C12">
        <v>1194</v>
      </c>
      <c r="D12">
        <v>1194</v>
      </c>
      <c r="E12">
        <v>9.1199999999999992</v>
      </c>
      <c r="F12">
        <v>50.11</v>
      </c>
      <c r="J12" s="2968">
        <v>9</v>
      </c>
      <c r="K12" s="2968" t="s">
        <v>3128</v>
      </c>
      <c r="L12" s="2968">
        <v>1194</v>
      </c>
      <c r="M12" s="2969" t="s">
        <v>3141</v>
      </c>
      <c r="N12" s="2968">
        <v>50.11</v>
      </c>
      <c r="O12" s="2968">
        <v>9.1199999999999992</v>
      </c>
      <c r="P12" s="2968" t="s">
        <v>3143</v>
      </c>
    </row>
    <row r="13" spans="2:16" ht="45">
      <c r="B13">
        <f t="shared" si="0"/>
        <v>0</v>
      </c>
      <c r="C13">
        <v>1219</v>
      </c>
      <c r="D13">
        <v>1219</v>
      </c>
      <c r="E13">
        <v>15.93</v>
      </c>
      <c r="F13">
        <v>87.52</v>
      </c>
      <c r="J13" s="2968">
        <v>10</v>
      </c>
      <c r="K13" s="2968" t="s">
        <v>3128</v>
      </c>
      <c r="L13" s="2968">
        <v>1219</v>
      </c>
      <c r="M13" s="2969" t="s">
        <v>3144</v>
      </c>
      <c r="N13" s="2968">
        <v>87.52</v>
      </c>
      <c r="O13" s="2968">
        <v>15.93</v>
      </c>
      <c r="P13" s="2968" t="s">
        <v>3145</v>
      </c>
    </row>
    <row r="14" spans="2:16" ht="45">
      <c r="B14">
        <f t="shared" si="0"/>
        <v>0</v>
      </c>
      <c r="C14">
        <v>1246</v>
      </c>
      <c r="D14">
        <v>1246</v>
      </c>
      <c r="E14">
        <v>7</v>
      </c>
      <c r="F14">
        <v>38.450000000000003</v>
      </c>
      <c r="J14" s="2968">
        <v>11</v>
      </c>
      <c r="K14" s="2968" t="s">
        <v>3128</v>
      </c>
      <c r="L14" s="2968">
        <v>1246</v>
      </c>
      <c r="M14" s="2969" t="s">
        <v>3141</v>
      </c>
      <c r="N14" s="2968">
        <v>38.450000000000003</v>
      </c>
      <c r="O14" s="2968">
        <v>7</v>
      </c>
      <c r="P14" s="2968" t="s">
        <v>3146</v>
      </c>
    </row>
    <row r="15" spans="2:16" ht="45">
      <c r="B15">
        <f t="shared" si="0"/>
        <v>0</v>
      </c>
      <c r="C15">
        <v>1273</v>
      </c>
      <c r="D15">
        <v>1273</v>
      </c>
      <c r="E15">
        <v>7.08</v>
      </c>
      <c r="F15">
        <v>38.909999999999997</v>
      </c>
      <c r="J15" s="2968">
        <v>12</v>
      </c>
      <c r="K15" s="2968" t="s">
        <v>3128</v>
      </c>
      <c r="L15" s="2968">
        <v>1273</v>
      </c>
      <c r="M15" s="2969" t="s">
        <v>3141</v>
      </c>
      <c r="N15" s="2968">
        <v>38.909999999999997</v>
      </c>
      <c r="O15" s="2968">
        <v>7.08</v>
      </c>
      <c r="P15" s="2968" t="s">
        <v>3147</v>
      </c>
    </row>
    <row r="16" spans="2:16" ht="45">
      <c r="B16">
        <f t="shared" si="0"/>
        <v>0</v>
      </c>
      <c r="C16">
        <v>1307</v>
      </c>
      <c r="D16">
        <v>1307</v>
      </c>
      <c r="E16">
        <v>7.91</v>
      </c>
      <c r="F16">
        <v>43.49</v>
      </c>
      <c r="J16" s="2968">
        <v>13</v>
      </c>
      <c r="K16" s="2968" t="s">
        <v>3128</v>
      </c>
      <c r="L16" s="2968">
        <v>1307</v>
      </c>
      <c r="M16" s="2969" t="s">
        <v>3141</v>
      </c>
      <c r="N16" s="2968">
        <v>43.49</v>
      </c>
      <c r="O16" s="2968">
        <v>7.91</v>
      </c>
      <c r="P16" s="2968" t="s">
        <v>3148</v>
      </c>
    </row>
    <row r="17" spans="2:16" ht="45">
      <c r="B17">
        <f t="shared" si="0"/>
        <v>0</v>
      </c>
      <c r="C17">
        <v>1308</v>
      </c>
      <c r="D17">
        <v>1308</v>
      </c>
      <c r="E17">
        <v>5.95</v>
      </c>
      <c r="F17">
        <v>32.700000000000003</v>
      </c>
      <c r="J17" s="2968">
        <v>14</v>
      </c>
      <c r="K17" s="2968" t="s">
        <v>3128</v>
      </c>
      <c r="L17" s="2968">
        <v>1308</v>
      </c>
      <c r="M17" s="2969" t="s">
        <v>3141</v>
      </c>
      <c r="N17" s="2968">
        <v>32.700000000000003</v>
      </c>
      <c r="O17" s="2968">
        <v>5.95</v>
      </c>
      <c r="P17" s="2968" t="s">
        <v>3149</v>
      </c>
    </row>
    <row r="18" spans="2:16" ht="45">
      <c r="B18">
        <f t="shared" si="0"/>
        <v>0</v>
      </c>
      <c r="C18">
        <v>1309</v>
      </c>
      <c r="D18">
        <v>1309</v>
      </c>
      <c r="E18">
        <v>6.08</v>
      </c>
      <c r="F18">
        <v>33.4</v>
      </c>
      <c r="J18" s="2968">
        <v>15</v>
      </c>
      <c r="K18" s="2968" t="s">
        <v>3128</v>
      </c>
      <c r="L18" s="2968">
        <v>1309</v>
      </c>
      <c r="M18" s="2969" t="s">
        <v>3141</v>
      </c>
      <c r="N18" s="2968">
        <v>33.4</v>
      </c>
      <c r="O18" s="2968">
        <v>6.08</v>
      </c>
      <c r="P18" s="2968" t="s">
        <v>3150</v>
      </c>
    </row>
    <row r="19" spans="2:16" ht="45">
      <c r="B19">
        <f t="shared" si="0"/>
        <v>0</v>
      </c>
      <c r="C19">
        <v>1334</v>
      </c>
      <c r="D19">
        <v>1334</v>
      </c>
      <c r="E19">
        <v>7.91</v>
      </c>
      <c r="F19">
        <v>43.49</v>
      </c>
      <c r="J19" s="2968">
        <v>16</v>
      </c>
      <c r="K19" s="2968" t="s">
        <v>3128</v>
      </c>
      <c r="L19" s="2968">
        <v>1334</v>
      </c>
      <c r="M19" s="2969" t="s">
        <v>3141</v>
      </c>
      <c r="N19" s="2968">
        <v>43.49</v>
      </c>
      <c r="O19" s="2968">
        <v>7.91</v>
      </c>
      <c r="P19" s="2968" t="s">
        <v>3151</v>
      </c>
    </row>
    <row r="20" spans="2:16" ht="56.25">
      <c r="B20">
        <f t="shared" si="0"/>
        <v>0</v>
      </c>
      <c r="C20">
        <v>1352</v>
      </c>
      <c r="D20">
        <v>1352</v>
      </c>
      <c r="E20">
        <v>3934.02</v>
      </c>
      <c r="F20">
        <v>21616.880000000001</v>
      </c>
      <c r="J20" s="2968">
        <v>17</v>
      </c>
      <c r="K20" s="2968" t="s">
        <v>3128</v>
      </c>
      <c r="L20" s="2968">
        <v>1352</v>
      </c>
      <c r="M20" s="2969" t="s">
        <v>3152</v>
      </c>
      <c r="N20" s="2970">
        <v>21616.880000000001</v>
      </c>
      <c r="O20" s="2970">
        <v>3934.02</v>
      </c>
      <c r="P20" s="2968" t="s">
        <v>3153</v>
      </c>
    </row>
    <row r="21" spans="2:16" ht="78.75">
      <c r="B21">
        <f t="shared" si="0"/>
        <v>0</v>
      </c>
      <c r="C21">
        <v>2104</v>
      </c>
      <c r="D21">
        <v>2104</v>
      </c>
      <c r="E21">
        <v>11.21</v>
      </c>
      <c r="F21">
        <v>61.62</v>
      </c>
      <c r="J21" s="2968">
        <v>18</v>
      </c>
      <c r="K21" s="2968" t="s">
        <v>3128</v>
      </c>
      <c r="L21" s="2968">
        <v>2104</v>
      </c>
      <c r="M21" s="2969" t="s">
        <v>3154</v>
      </c>
      <c r="N21" s="2968">
        <v>61.62</v>
      </c>
      <c r="O21" s="2968">
        <v>11.21</v>
      </c>
      <c r="P21" s="2968" t="s">
        <v>3155</v>
      </c>
    </row>
    <row r="22" spans="2:16" ht="78.75">
      <c r="B22">
        <f t="shared" si="0"/>
        <v>0</v>
      </c>
      <c r="C22">
        <v>2166</v>
      </c>
      <c r="D22">
        <v>2166</v>
      </c>
      <c r="E22">
        <v>5.38</v>
      </c>
      <c r="F22">
        <v>29.56</v>
      </c>
      <c r="J22" s="2968">
        <v>19</v>
      </c>
      <c r="K22" s="2968" t="s">
        <v>3128</v>
      </c>
      <c r="L22" s="2968">
        <v>2166</v>
      </c>
      <c r="M22" s="2969" t="s">
        <v>3154</v>
      </c>
      <c r="N22" s="2968">
        <v>29.56</v>
      </c>
      <c r="O22" s="2968">
        <v>5.38</v>
      </c>
      <c r="P22" s="2968" t="s">
        <v>3156</v>
      </c>
    </row>
    <row r="23" spans="2:16" ht="78.75">
      <c r="B23">
        <f t="shared" si="0"/>
        <v>0</v>
      </c>
      <c r="C23">
        <v>2172</v>
      </c>
      <c r="D23">
        <v>2172</v>
      </c>
      <c r="E23">
        <v>6.73</v>
      </c>
      <c r="F23">
        <v>36.96</v>
      </c>
      <c r="J23" s="2968">
        <v>20</v>
      </c>
      <c r="K23" s="2968" t="s">
        <v>3128</v>
      </c>
      <c r="L23" s="2968">
        <v>2172</v>
      </c>
      <c r="M23" s="2969" t="s">
        <v>3154</v>
      </c>
      <c r="N23" s="2968">
        <v>36.96</v>
      </c>
      <c r="O23" s="2968">
        <v>6.73</v>
      </c>
      <c r="P23" s="2968" t="s">
        <v>3157</v>
      </c>
    </row>
    <row r="24" spans="2:16" ht="78.75">
      <c r="B24">
        <f t="shared" si="0"/>
        <v>0</v>
      </c>
      <c r="C24">
        <v>2173</v>
      </c>
      <c r="D24">
        <v>2173</v>
      </c>
      <c r="E24">
        <v>6.94</v>
      </c>
      <c r="F24">
        <v>38.159999999999997</v>
      </c>
      <c r="J24" s="2968">
        <v>21</v>
      </c>
      <c r="K24" s="2968" t="s">
        <v>3128</v>
      </c>
      <c r="L24" s="2968">
        <v>2173</v>
      </c>
      <c r="M24" s="2969" t="s">
        <v>3154</v>
      </c>
      <c r="N24" s="2968">
        <v>38.159999999999997</v>
      </c>
      <c r="O24" s="2968">
        <v>6.94</v>
      </c>
      <c r="P24" s="2968" t="s">
        <v>3158</v>
      </c>
    </row>
    <row r="25" spans="2:16" ht="78.75">
      <c r="B25">
        <f t="shared" si="0"/>
        <v>0</v>
      </c>
      <c r="C25">
        <v>2174</v>
      </c>
      <c r="D25">
        <v>2174</v>
      </c>
      <c r="E25">
        <v>6.08</v>
      </c>
      <c r="F25">
        <v>33.39</v>
      </c>
      <c r="J25" s="2968">
        <v>22</v>
      </c>
      <c r="K25" s="2968" t="s">
        <v>3128</v>
      </c>
      <c r="L25" s="2968">
        <v>2174</v>
      </c>
      <c r="M25" s="2969" t="s">
        <v>3154</v>
      </c>
      <c r="N25" s="2968">
        <v>33.39</v>
      </c>
      <c r="O25" s="2968">
        <v>6.08</v>
      </c>
      <c r="P25" s="2968" t="s">
        <v>3159</v>
      </c>
    </row>
    <row r="26" spans="2:16" ht="78.75">
      <c r="B26">
        <f t="shared" si="0"/>
        <v>0</v>
      </c>
      <c r="C26">
        <v>3038</v>
      </c>
      <c r="D26">
        <v>3038</v>
      </c>
      <c r="E26">
        <v>6.77</v>
      </c>
      <c r="F26">
        <v>37.21</v>
      </c>
      <c r="J26" s="2968">
        <v>23</v>
      </c>
      <c r="K26" s="2968" t="s">
        <v>3128</v>
      </c>
      <c r="L26" s="2968">
        <v>3038</v>
      </c>
      <c r="M26" s="2969" t="s">
        <v>3154</v>
      </c>
      <c r="N26" s="2968">
        <v>37.21</v>
      </c>
      <c r="O26" s="2968">
        <v>6.77</v>
      </c>
      <c r="P26" s="2968" t="s">
        <v>3160</v>
      </c>
    </row>
    <row r="27" spans="2:16" ht="78.75">
      <c r="B27">
        <f t="shared" si="0"/>
        <v>0</v>
      </c>
      <c r="C27">
        <v>3090</v>
      </c>
      <c r="D27">
        <v>3090</v>
      </c>
      <c r="E27">
        <v>6.44</v>
      </c>
      <c r="F27">
        <v>35.409999999999997</v>
      </c>
      <c r="J27" s="2968">
        <v>24</v>
      </c>
      <c r="K27" s="2968" t="s">
        <v>3128</v>
      </c>
      <c r="L27" s="2968">
        <v>3090</v>
      </c>
      <c r="M27" s="2969" t="s">
        <v>3154</v>
      </c>
      <c r="N27" s="2968">
        <v>35.409999999999997</v>
      </c>
      <c r="O27" s="2968">
        <v>6.44</v>
      </c>
      <c r="P27" s="2968" t="s">
        <v>3161</v>
      </c>
    </row>
    <row r="28" spans="2:16" ht="78.75">
      <c r="B28">
        <f t="shared" si="0"/>
        <v>0</v>
      </c>
      <c r="C28">
        <v>3161</v>
      </c>
      <c r="D28">
        <v>3161</v>
      </c>
      <c r="E28">
        <v>6.04</v>
      </c>
      <c r="F28">
        <v>33.21</v>
      </c>
      <c r="J28" s="2968">
        <v>25</v>
      </c>
      <c r="K28" s="2968" t="s">
        <v>3128</v>
      </c>
      <c r="L28" s="2968">
        <v>3161</v>
      </c>
      <c r="M28" s="2969" t="s">
        <v>3154</v>
      </c>
      <c r="N28" s="2968">
        <v>33.21</v>
      </c>
      <c r="O28" s="2968">
        <v>6.04</v>
      </c>
      <c r="P28" s="2968" t="s">
        <v>3162</v>
      </c>
    </row>
    <row r="29" spans="2:16" ht="78.75">
      <c r="B29">
        <f t="shared" si="0"/>
        <v>0</v>
      </c>
      <c r="C29">
        <v>3162</v>
      </c>
      <c r="D29">
        <v>3162</v>
      </c>
      <c r="E29">
        <v>6.91</v>
      </c>
      <c r="F29">
        <v>37.950000000000003</v>
      </c>
      <c r="J29" s="2968">
        <v>26</v>
      </c>
      <c r="K29" s="2968" t="s">
        <v>3128</v>
      </c>
      <c r="L29" s="2968">
        <v>3162</v>
      </c>
      <c r="M29" s="2969" t="s">
        <v>3154</v>
      </c>
      <c r="N29" s="2968">
        <v>37.950000000000003</v>
      </c>
      <c r="O29" s="2968">
        <v>6.91</v>
      </c>
      <c r="P29" s="2968" t="s">
        <v>3163</v>
      </c>
    </row>
    <row r="30" spans="2:16" ht="78.75">
      <c r="B30">
        <f t="shared" si="0"/>
        <v>0</v>
      </c>
      <c r="C30">
        <v>3163</v>
      </c>
      <c r="D30">
        <v>3163</v>
      </c>
      <c r="E30">
        <v>6.69</v>
      </c>
      <c r="F30">
        <v>36.76</v>
      </c>
      <c r="J30" s="2968">
        <v>27</v>
      </c>
      <c r="K30" s="2968" t="s">
        <v>3128</v>
      </c>
      <c r="L30" s="2968">
        <v>3163</v>
      </c>
      <c r="M30" s="2969" t="s">
        <v>3154</v>
      </c>
      <c r="N30" s="2968">
        <v>36.76</v>
      </c>
      <c r="O30" s="2968">
        <v>6.69</v>
      </c>
      <c r="P30" s="2968" t="s">
        <v>3164</v>
      </c>
    </row>
    <row r="31" spans="2:16" ht="78.75">
      <c r="B31">
        <f t="shared" si="0"/>
        <v>0</v>
      </c>
      <c r="C31">
        <v>4031</v>
      </c>
      <c r="D31">
        <v>4031</v>
      </c>
      <c r="E31">
        <v>12.02</v>
      </c>
      <c r="F31">
        <v>66.05</v>
      </c>
      <c r="J31" s="2968">
        <v>28</v>
      </c>
      <c r="K31" s="2968" t="s">
        <v>3128</v>
      </c>
      <c r="L31" s="2968">
        <v>4031</v>
      </c>
      <c r="M31" s="2969" t="s">
        <v>3154</v>
      </c>
      <c r="N31" s="2968">
        <v>66.05</v>
      </c>
      <c r="O31" s="2968">
        <v>12.02</v>
      </c>
      <c r="P31" s="2968" t="s">
        <v>3165</v>
      </c>
    </row>
    <row r="32" spans="2:16" ht="78.75">
      <c r="B32">
        <f t="shared" si="0"/>
        <v>0</v>
      </c>
      <c r="C32">
        <v>4032</v>
      </c>
      <c r="D32">
        <v>4032</v>
      </c>
      <c r="E32">
        <v>9.16</v>
      </c>
      <c r="F32">
        <v>50.35</v>
      </c>
      <c r="J32" s="2968">
        <v>29</v>
      </c>
      <c r="K32" s="2968" t="s">
        <v>3128</v>
      </c>
      <c r="L32" s="2968">
        <v>4032</v>
      </c>
      <c r="M32" s="2969" t="s">
        <v>3154</v>
      </c>
      <c r="N32" s="2968">
        <v>50.35</v>
      </c>
      <c r="O32" s="2968">
        <v>9.16</v>
      </c>
      <c r="P32" s="2968" t="s">
        <v>3166</v>
      </c>
    </row>
    <row r="33" spans="2:16" ht="78.75">
      <c r="B33">
        <f t="shared" si="0"/>
        <v>0</v>
      </c>
      <c r="C33">
        <v>4033</v>
      </c>
      <c r="D33">
        <v>4033</v>
      </c>
      <c r="E33">
        <v>9.16</v>
      </c>
      <c r="F33">
        <v>50.34</v>
      </c>
      <c r="J33" s="2968">
        <v>30</v>
      </c>
      <c r="K33" s="2968" t="s">
        <v>3128</v>
      </c>
      <c r="L33" s="2968">
        <v>4033</v>
      </c>
      <c r="M33" s="2969" t="s">
        <v>3154</v>
      </c>
      <c r="N33" s="2968">
        <v>50.34</v>
      </c>
      <c r="O33" s="2968">
        <v>9.16</v>
      </c>
      <c r="P33" s="2968" t="s">
        <v>3167</v>
      </c>
    </row>
    <row r="34" spans="2:16" ht="78.75">
      <c r="B34">
        <f t="shared" si="0"/>
        <v>0</v>
      </c>
      <c r="C34">
        <v>4086</v>
      </c>
      <c r="D34">
        <v>4086</v>
      </c>
      <c r="E34">
        <v>5.96</v>
      </c>
      <c r="F34">
        <v>32.729999999999997</v>
      </c>
      <c r="J34" s="2968">
        <v>31</v>
      </c>
      <c r="K34" s="2968" t="s">
        <v>3128</v>
      </c>
      <c r="L34" s="2968">
        <v>4086</v>
      </c>
      <c r="M34" s="2969" t="s">
        <v>3154</v>
      </c>
      <c r="N34" s="2968">
        <v>32.729999999999997</v>
      </c>
      <c r="O34" s="2968">
        <v>5.96</v>
      </c>
      <c r="P34" s="2968" t="s">
        <v>3168</v>
      </c>
    </row>
    <row r="35" spans="2:16" ht="78.75">
      <c r="B35">
        <f t="shared" si="0"/>
        <v>0</v>
      </c>
      <c r="C35">
        <v>4109</v>
      </c>
      <c r="D35">
        <v>4109</v>
      </c>
      <c r="E35">
        <v>4.7</v>
      </c>
      <c r="F35">
        <v>25.84</v>
      </c>
      <c r="J35" s="2968">
        <v>32</v>
      </c>
      <c r="K35" s="2968" t="s">
        <v>3128</v>
      </c>
      <c r="L35" s="2968">
        <v>4109</v>
      </c>
      <c r="M35" s="2969" t="s">
        <v>3154</v>
      </c>
      <c r="N35" s="2968">
        <v>25.84</v>
      </c>
      <c r="O35" s="2968">
        <v>4.7</v>
      </c>
      <c r="P35" s="2968" t="s">
        <v>3169</v>
      </c>
    </row>
    <row r="36" spans="2:16" ht="78.75">
      <c r="B36">
        <f t="shared" si="0"/>
        <v>0</v>
      </c>
      <c r="C36">
        <v>4157</v>
      </c>
      <c r="D36">
        <v>4157</v>
      </c>
      <c r="E36">
        <v>5.59</v>
      </c>
      <c r="F36">
        <v>30.7</v>
      </c>
      <c r="J36" s="2968">
        <v>33</v>
      </c>
      <c r="K36" s="2968" t="s">
        <v>3128</v>
      </c>
      <c r="L36" s="2968">
        <v>4157</v>
      </c>
      <c r="M36" s="2969" t="s">
        <v>3154</v>
      </c>
      <c r="N36" s="2968">
        <v>30.7</v>
      </c>
      <c r="O36" s="2968">
        <v>5.59</v>
      </c>
      <c r="P36" s="2968" t="s">
        <v>3170</v>
      </c>
    </row>
    <row r="37" spans="2:16" ht="78.75">
      <c r="B37">
        <f t="shared" si="0"/>
        <v>0</v>
      </c>
      <c r="C37">
        <v>4158</v>
      </c>
      <c r="D37">
        <v>4158</v>
      </c>
      <c r="E37">
        <v>6.38</v>
      </c>
      <c r="F37">
        <v>35.08</v>
      </c>
      <c r="J37" s="2968">
        <v>34</v>
      </c>
      <c r="K37" s="2968" t="s">
        <v>3128</v>
      </c>
      <c r="L37" s="2968">
        <v>4158</v>
      </c>
      <c r="M37" s="2969" t="s">
        <v>3154</v>
      </c>
      <c r="N37" s="2968">
        <v>35.08</v>
      </c>
      <c r="O37" s="2968">
        <v>6.38</v>
      </c>
      <c r="P37" s="2968" t="s">
        <v>3171</v>
      </c>
    </row>
    <row r="38" spans="2:16" ht="78.75">
      <c r="B38">
        <f t="shared" si="0"/>
        <v>0</v>
      </c>
      <c r="C38">
        <v>4159</v>
      </c>
      <c r="D38">
        <v>4159</v>
      </c>
      <c r="E38">
        <v>6.19</v>
      </c>
      <c r="F38">
        <v>33.99</v>
      </c>
      <c r="J38" s="2968">
        <v>35</v>
      </c>
      <c r="K38" s="2968" t="s">
        <v>3128</v>
      </c>
      <c r="L38" s="2968">
        <v>4159</v>
      </c>
      <c r="M38" s="2969" t="s">
        <v>3154</v>
      </c>
      <c r="N38" s="2968">
        <v>33.99</v>
      </c>
      <c r="O38" s="2968">
        <v>6.19</v>
      </c>
      <c r="P38" s="2968" t="s">
        <v>3172</v>
      </c>
    </row>
    <row r="39" spans="2:16" ht="45">
      <c r="B39">
        <f t="shared" si="0"/>
        <v>0</v>
      </c>
      <c r="C39">
        <v>4181</v>
      </c>
      <c r="D39">
        <v>4181</v>
      </c>
      <c r="E39">
        <v>170</v>
      </c>
      <c r="F39">
        <v>934.19</v>
      </c>
      <c r="J39" s="2968">
        <v>36</v>
      </c>
      <c r="K39" s="2968" t="s">
        <v>3128</v>
      </c>
      <c r="L39" s="2968">
        <v>4181</v>
      </c>
      <c r="M39" s="2968" t="s">
        <v>3173</v>
      </c>
      <c r="N39" s="2968">
        <v>934.19</v>
      </c>
      <c r="O39" s="2968">
        <v>170</v>
      </c>
      <c r="P39" s="2968" t="s">
        <v>3174</v>
      </c>
    </row>
    <row r="40" spans="2:16" ht="90">
      <c r="B40">
        <f t="shared" si="0"/>
        <v>0</v>
      </c>
      <c r="C40">
        <v>5087</v>
      </c>
      <c r="D40">
        <v>5087</v>
      </c>
      <c r="E40">
        <v>6.76</v>
      </c>
      <c r="F40">
        <v>37.14</v>
      </c>
      <c r="J40" s="2968">
        <v>37</v>
      </c>
      <c r="K40" s="2968" t="s">
        <v>3128</v>
      </c>
      <c r="L40" s="2968">
        <v>5087</v>
      </c>
      <c r="M40" s="2969" t="s">
        <v>3175</v>
      </c>
      <c r="N40" s="2968">
        <v>37.14</v>
      </c>
      <c r="O40" s="2968">
        <v>6.76</v>
      </c>
      <c r="P40" s="2968" t="s">
        <v>3176</v>
      </c>
    </row>
    <row r="41" spans="2:16" ht="90">
      <c r="B41">
        <f t="shared" si="0"/>
        <v>0</v>
      </c>
      <c r="C41">
        <v>5088</v>
      </c>
      <c r="D41">
        <v>5088</v>
      </c>
      <c r="E41">
        <v>7.4</v>
      </c>
      <c r="F41">
        <v>40.68</v>
      </c>
      <c r="J41" s="2968">
        <v>38</v>
      </c>
      <c r="K41" s="2968" t="s">
        <v>3128</v>
      </c>
      <c r="L41" s="2968">
        <v>5088</v>
      </c>
      <c r="M41" s="2969" t="s">
        <v>3175</v>
      </c>
      <c r="N41" s="2968">
        <v>40.68</v>
      </c>
      <c r="O41" s="2968">
        <v>7.4</v>
      </c>
      <c r="P41" s="2968" t="s">
        <v>3177</v>
      </c>
    </row>
    <row r="42" spans="2:16" ht="90">
      <c r="B42">
        <f t="shared" si="0"/>
        <v>0</v>
      </c>
      <c r="C42">
        <v>5133</v>
      </c>
      <c r="D42">
        <v>5133</v>
      </c>
      <c r="E42">
        <v>5.74</v>
      </c>
      <c r="F42">
        <v>31.52</v>
      </c>
      <c r="J42" s="2968">
        <v>39</v>
      </c>
      <c r="K42" s="2968" t="s">
        <v>3128</v>
      </c>
      <c r="L42" s="2968">
        <v>5133</v>
      </c>
      <c r="M42" s="2969" t="s">
        <v>3175</v>
      </c>
      <c r="N42" s="2968">
        <v>31.52</v>
      </c>
      <c r="O42" s="2968">
        <v>5.74</v>
      </c>
      <c r="P42" s="2968" t="s">
        <v>3178</v>
      </c>
    </row>
    <row r="43" spans="2:16" ht="90">
      <c r="B43">
        <f t="shared" si="0"/>
        <v>0</v>
      </c>
      <c r="C43">
        <v>5134</v>
      </c>
      <c r="D43">
        <v>5134</v>
      </c>
      <c r="E43">
        <v>6.55</v>
      </c>
      <c r="F43">
        <v>36.020000000000003</v>
      </c>
      <c r="J43" s="2968">
        <v>40</v>
      </c>
      <c r="K43" s="2968" t="s">
        <v>3128</v>
      </c>
      <c r="L43" s="2968">
        <v>5134</v>
      </c>
      <c r="M43" s="2969" t="s">
        <v>3175</v>
      </c>
      <c r="N43" s="2968">
        <v>36.020000000000003</v>
      </c>
      <c r="O43" s="2968">
        <v>6.55</v>
      </c>
      <c r="P43" s="2968" t="s">
        <v>3179</v>
      </c>
    </row>
    <row r="44" spans="2:16" ht="90">
      <c r="B44">
        <f t="shared" si="0"/>
        <v>0</v>
      </c>
      <c r="C44">
        <v>5135</v>
      </c>
      <c r="D44">
        <v>5135</v>
      </c>
      <c r="E44">
        <v>6.35</v>
      </c>
      <c r="F44">
        <v>34.89</v>
      </c>
      <c r="J44" s="2968">
        <v>41</v>
      </c>
      <c r="K44" s="2968" t="s">
        <v>3128</v>
      </c>
      <c r="L44" s="2968">
        <v>5135</v>
      </c>
      <c r="M44" s="2969" t="s">
        <v>3175</v>
      </c>
      <c r="N44" s="2968">
        <v>34.89</v>
      </c>
      <c r="O44" s="2968">
        <v>6.35</v>
      </c>
      <c r="P44" s="2968" t="s">
        <v>3180</v>
      </c>
    </row>
    <row r="45" spans="2:16" ht="90">
      <c r="B45">
        <f t="shared" si="0"/>
        <v>0</v>
      </c>
      <c r="C45">
        <v>5152</v>
      </c>
      <c r="D45">
        <v>5152</v>
      </c>
      <c r="E45">
        <v>6.76</v>
      </c>
      <c r="F45">
        <v>37.14</v>
      </c>
      <c r="J45" s="2968">
        <v>42</v>
      </c>
      <c r="K45" s="2968" t="s">
        <v>3128</v>
      </c>
      <c r="L45" s="2968">
        <v>5152</v>
      </c>
      <c r="M45" s="2969" t="s">
        <v>3175</v>
      </c>
      <c r="N45" s="2968">
        <v>37.14</v>
      </c>
      <c r="O45" s="2968">
        <v>6.76</v>
      </c>
      <c r="P45" s="2968" t="s">
        <v>3181</v>
      </c>
    </row>
    <row r="46" spans="2:16" ht="90">
      <c r="B46">
        <f t="shared" si="0"/>
        <v>0</v>
      </c>
      <c r="C46">
        <v>5153</v>
      </c>
      <c r="D46">
        <v>5153</v>
      </c>
      <c r="E46">
        <v>8.31</v>
      </c>
      <c r="F46">
        <v>45.69</v>
      </c>
      <c r="J46" s="2968">
        <v>43</v>
      </c>
      <c r="K46" s="2968" t="s">
        <v>3128</v>
      </c>
      <c r="L46" s="2968">
        <v>5153</v>
      </c>
      <c r="M46" s="2969" t="s">
        <v>3175</v>
      </c>
      <c r="N46" s="2968">
        <v>45.69</v>
      </c>
      <c r="O46" s="2968">
        <v>8.31</v>
      </c>
      <c r="P46" s="2968" t="s">
        <v>3182</v>
      </c>
    </row>
    <row r="47" spans="2:16" ht="90">
      <c r="B47">
        <f t="shared" si="0"/>
        <v>0</v>
      </c>
      <c r="C47">
        <v>5154</v>
      </c>
      <c r="D47">
        <v>5154</v>
      </c>
      <c r="E47">
        <v>9.23</v>
      </c>
      <c r="F47">
        <v>50.73</v>
      </c>
      <c r="J47" s="2968">
        <v>44</v>
      </c>
      <c r="K47" s="2968" t="s">
        <v>3128</v>
      </c>
      <c r="L47" s="2968">
        <v>5154</v>
      </c>
      <c r="M47" s="2969" t="s">
        <v>3175</v>
      </c>
      <c r="N47" s="2968">
        <v>50.73</v>
      </c>
      <c r="O47" s="2968">
        <v>9.23</v>
      </c>
      <c r="P47" s="2968" t="s">
        <v>3183</v>
      </c>
    </row>
    <row r="48" spans="2:16" ht="90">
      <c r="B48">
        <f t="shared" si="0"/>
        <v>0</v>
      </c>
      <c r="C48">
        <v>5155</v>
      </c>
      <c r="D48">
        <v>5155</v>
      </c>
      <c r="E48">
        <v>8.9499999999999993</v>
      </c>
      <c r="F48">
        <v>49.17</v>
      </c>
      <c r="J48" s="2968">
        <v>45</v>
      </c>
      <c r="K48" s="2968" t="s">
        <v>3128</v>
      </c>
      <c r="L48" s="2968">
        <v>5155</v>
      </c>
      <c r="M48" s="2969" t="s">
        <v>3175</v>
      </c>
      <c r="N48" s="2968">
        <v>49.17</v>
      </c>
      <c r="O48" s="2968">
        <v>8.9499999999999993</v>
      </c>
      <c r="P48" s="2968" t="s">
        <v>3184</v>
      </c>
    </row>
    <row r="49" spans="2:16" ht="90">
      <c r="B49">
        <f t="shared" si="0"/>
        <v>0</v>
      </c>
      <c r="C49">
        <v>5156</v>
      </c>
      <c r="D49">
        <v>5156</v>
      </c>
      <c r="E49">
        <v>8.09</v>
      </c>
      <c r="F49">
        <v>44.44</v>
      </c>
      <c r="J49" s="2968">
        <v>46</v>
      </c>
      <c r="K49" s="2968" t="s">
        <v>3128</v>
      </c>
      <c r="L49" s="2968">
        <v>5156</v>
      </c>
      <c r="M49" s="2969" t="s">
        <v>3175</v>
      </c>
      <c r="N49" s="2968">
        <v>44.44</v>
      </c>
      <c r="O49" s="2968">
        <v>8.09</v>
      </c>
      <c r="P49" s="2968" t="s">
        <v>3185</v>
      </c>
    </row>
    <row r="50" spans="2:16" ht="90">
      <c r="B50">
        <f t="shared" si="0"/>
        <v>0</v>
      </c>
      <c r="C50">
        <v>5157</v>
      </c>
      <c r="D50">
        <v>5157</v>
      </c>
      <c r="E50">
        <v>10.88</v>
      </c>
      <c r="F50">
        <v>59.76</v>
      </c>
      <c r="J50" s="2968">
        <v>47</v>
      </c>
      <c r="K50" s="2968" t="s">
        <v>3128</v>
      </c>
      <c r="L50" s="2968">
        <v>5157</v>
      </c>
      <c r="M50" s="2969" t="s">
        <v>3175</v>
      </c>
      <c r="N50" s="2968">
        <v>59.76</v>
      </c>
      <c r="O50" s="2968">
        <v>10.88</v>
      </c>
      <c r="P50" s="2968" t="s">
        <v>3186</v>
      </c>
    </row>
    <row r="51" spans="2:16" ht="90">
      <c r="B51">
        <f t="shared" si="0"/>
        <v>0</v>
      </c>
      <c r="C51">
        <v>5158</v>
      </c>
      <c r="D51">
        <v>5158</v>
      </c>
      <c r="E51">
        <v>6.61</v>
      </c>
      <c r="F51">
        <v>36.340000000000003</v>
      </c>
      <c r="J51" s="2968">
        <v>48</v>
      </c>
      <c r="K51" s="2968" t="s">
        <v>3128</v>
      </c>
      <c r="L51" s="2968">
        <v>5158</v>
      </c>
      <c r="M51" s="2969" t="s">
        <v>3175</v>
      </c>
      <c r="N51" s="2968">
        <v>36.340000000000003</v>
      </c>
      <c r="O51" s="2968">
        <v>6.61</v>
      </c>
      <c r="P51" s="2968" t="s">
        <v>3187</v>
      </c>
    </row>
    <row r="52" spans="2:16" ht="90">
      <c r="B52">
        <f t="shared" si="0"/>
        <v>0</v>
      </c>
      <c r="C52">
        <v>5159</v>
      </c>
      <c r="D52">
        <v>5159</v>
      </c>
      <c r="E52">
        <v>8.7200000000000006</v>
      </c>
      <c r="F52">
        <v>47.9</v>
      </c>
      <c r="J52" s="2968">
        <v>49</v>
      </c>
      <c r="K52" s="2968" t="s">
        <v>3128</v>
      </c>
      <c r="L52" s="2968">
        <v>5159</v>
      </c>
      <c r="M52" s="2969" t="s">
        <v>3175</v>
      </c>
      <c r="N52" s="2968">
        <v>47.9</v>
      </c>
      <c r="O52" s="2968">
        <v>8.7200000000000006</v>
      </c>
      <c r="P52" s="2968" t="s">
        <v>3188</v>
      </c>
    </row>
    <row r="53" spans="2:16" ht="90">
      <c r="B53">
        <f t="shared" si="0"/>
        <v>0</v>
      </c>
      <c r="C53">
        <v>5160</v>
      </c>
      <c r="D53">
        <v>5160</v>
      </c>
      <c r="E53">
        <v>6.65</v>
      </c>
      <c r="F53">
        <v>36.520000000000003</v>
      </c>
      <c r="J53" s="2968">
        <v>50</v>
      </c>
      <c r="K53" s="2968" t="s">
        <v>3128</v>
      </c>
      <c r="L53" s="2968">
        <v>5160</v>
      </c>
      <c r="M53" s="2969" t="s">
        <v>3175</v>
      </c>
      <c r="N53" s="2968">
        <v>36.520000000000003</v>
      </c>
      <c r="O53" s="2968">
        <v>6.65</v>
      </c>
      <c r="P53" s="2968" t="s">
        <v>3189</v>
      </c>
    </row>
    <row r="54" spans="2:16" ht="90">
      <c r="B54">
        <f t="shared" si="0"/>
        <v>0</v>
      </c>
      <c r="C54">
        <v>5161</v>
      </c>
      <c r="D54">
        <v>5161</v>
      </c>
      <c r="E54">
        <v>5.54</v>
      </c>
      <c r="F54">
        <v>30.43</v>
      </c>
      <c r="J54" s="2968">
        <v>51</v>
      </c>
      <c r="K54" s="2968" t="s">
        <v>3128</v>
      </c>
      <c r="L54" s="2968">
        <v>5161</v>
      </c>
      <c r="M54" s="2969" t="s">
        <v>3175</v>
      </c>
      <c r="N54" s="2968">
        <v>30.43</v>
      </c>
      <c r="O54" s="2968">
        <v>5.54</v>
      </c>
      <c r="P54" s="2968" t="s">
        <v>3190</v>
      </c>
    </row>
    <row r="55" spans="2:16" ht="90">
      <c r="B55">
        <f t="shared" si="0"/>
        <v>0</v>
      </c>
      <c r="C55">
        <v>5170</v>
      </c>
      <c r="D55">
        <v>5170</v>
      </c>
      <c r="E55">
        <v>6.65</v>
      </c>
      <c r="F55">
        <v>36.520000000000003</v>
      </c>
      <c r="J55" s="2968">
        <v>52</v>
      </c>
      <c r="K55" s="2968" t="s">
        <v>3128</v>
      </c>
      <c r="L55" s="2968">
        <v>5170</v>
      </c>
      <c r="M55" s="2969" t="s">
        <v>3175</v>
      </c>
      <c r="N55" s="2968">
        <v>36.520000000000003</v>
      </c>
      <c r="O55" s="2968">
        <v>6.65</v>
      </c>
      <c r="P55" s="2968" t="s">
        <v>3191</v>
      </c>
    </row>
    <row r="56" spans="2:16" ht="90">
      <c r="B56">
        <f t="shared" si="0"/>
        <v>0</v>
      </c>
      <c r="C56">
        <v>5197</v>
      </c>
      <c r="D56">
        <v>5197</v>
      </c>
      <c r="E56">
        <v>6.95</v>
      </c>
      <c r="F56">
        <v>38.18</v>
      </c>
      <c r="J56" s="2968">
        <v>53</v>
      </c>
      <c r="K56" s="2968" t="s">
        <v>3128</v>
      </c>
      <c r="L56" s="2968">
        <v>5197</v>
      </c>
      <c r="M56" s="2969" t="s">
        <v>3175</v>
      </c>
      <c r="N56" s="2968">
        <v>38.18</v>
      </c>
      <c r="O56" s="2968">
        <v>6.95</v>
      </c>
      <c r="P56" s="2968" t="s">
        <v>3192</v>
      </c>
    </row>
    <row r="57" spans="2:16" ht="90">
      <c r="B57">
        <f t="shared" si="0"/>
        <v>0</v>
      </c>
      <c r="C57">
        <v>5198</v>
      </c>
      <c r="D57">
        <v>5198</v>
      </c>
      <c r="E57">
        <v>6.95</v>
      </c>
      <c r="F57">
        <v>38.18</v>
      </c>
      <c r="J57" s="2968">
        <v>54</v>
      </c>
      <c r="K57" s="2968" t="s">
        <v>3128</v>
      </c>
      <c r="L57" s="2968">
        <v>5198</v>
      </c>
      <c r="M57" s="2969" t="s">
        <v>3175</v>
      </c>
      <c r="N57" s="2968">
        <v>38.18</v>
      </c>
      <c r="O57" s="2968">
        <v>6.95</v>
      </c>
      <c r="P57" s="2968" t="s">
        <v>3193</v>
      </c>
    </row>
    <row r="58" spans="2:16" ht="90">
      <c r="B58">
        <f t="shared" si="0"/>
        <v>0</v>
      </c>
      <c r="C58">
        <v>5199</v>
      </c>
      <c r="D58">
        <v>5199</v>
      </c>
      <c r="E58">
        <v>7.61</v>
      </c>
      <c r="F58">
        <v>41.82</v>
      </c>
      <c r="J58" s="2968">
        <v>55</v>
      </c>
      <c r="K58" s="2968" t="s">
        <v>3128</v>
      </c>
      <c r="L58" s="2968">
        <v>5199</v>
      </c>
      <c r="M58" s="2969" t="s">
        <v>3175</v>
      </c>
      <c r="N58" s="2968">
        <v>41.82</v>
      </c>
      <c r="O58" s="2968">
        <v>7.61</v>
      </c>
      <c r="P58" s="2968" t="s">
        <v>3194</v>
      </c>
    </row>
    <row r="59" spans="2:16" ht="90">
      <c r="B59">
        <f t="shared" si="0"/>
        <v>0</v>
      </c>
      <c r="C59">
        <v>5260</v>
      </c>
      <c r="D59">
        <v>5260</v>
      </c>
      <c r="E59">
        <v>9.36</v>
      </c>
      <c r="F59">
        <v>51.46</v>
      </c>
      <c r="J59" s="2968">
        <v>56</v>
      </c>
      <c r="K59" s="2968" t="s">
        <v>3128</v>
      </c>
      <c r="L59" s="2968">
        <v>5260</v>
      </c>
      <c r="M59" s="2969" t="s">
        <v>3175</v>
      </c>
      <c r="N59" s="2968">
        <v>51.46</v>
      </c>
      <c r="O59" s="2968">
        <v>9.36</v>
      </c>
      <c r="P59" s="2968" t="s">
        <v>3195</v>
      </c>
    </row>
    <row r="60" spans="2:16" ht="90">
      <c r="B60">
        <f t="shared" si="0"/>
        <v>0</v>
      </c>
      <c r="C60">
        <v>5261</v>
      </c>
      <c r="D60">
        <v>5261</v>
      </c>
      <c r="E60">
        <v>7.55</v>
      </c>
      <c r="F60">
        <v>41.5</v>
      </c>
      <c r="J60" s="2968">
        <v>57</v>
      </c>
      <c r="K60" s="2968" t="s">
        <v>3128</v>
      </c>
      <c r="L60" s="2968">
        <v>5261</v>
      </c>
      <c r="M60" s="2969" t="s">
        <v>3175</v>
      </c>
      <c r="N60" s="2968">
        <v>41.5</v>
      </c>
      <c r="O60" s="2968">
        <v>7.55</v>
      </c>
      <c r="P60" s="2968" t="s">
        <v>3196</v>
      </c>
    </row>
    <row r="61" spans="2:16" ht="90">
      <c r="B61">
        <f t="shared" si="0"/>
        <v>0</v>
      </c>
      <c r="C61">
        <v>5262</v>
      </c>
      <c r="D61">
        <v>5262</v>
      </c>
      <c r="E61">
        <v>6.55</v>
      </c>
      <c r="F61">
        <v>35.97</v>
      </c>
      <c r="J61" s="2968">
        <v>58</v>
      </c>
      <c r="K61" s="2968" t="s">
        <v>3128</v>
      </c>
      <c r="L61" s="2968">
        <v>5262</v>
      </c>
      <c r="M61" s="2969" t="s">
        <v>3175</v>
      </c>
      <c r="N61" s="2968">
        <v>35.97</v>
      </c>
      <c r="O61" s="2968">
        <v>6.55</v>
      </c>
      <c r="P61" s="2968" t="s">
        <v>3197</v>
      </c>
    </row>
    <row r="62" spans="2:16" ht="90">
      <c r="B62">
        <f t="shared" si="0"/>
        <v>0</v>
      </c>
      <c r="C62">
        <v>5283</v>
      </c>
      <c r="D62">
        <v>5283</v>
      </c>
      <c r="E62">
        <v>6.63</v>
      </c>
      <c r="F62">
        <v>36.44</v>
      </c>
      <c r="J62" s="2968">
        <v>59</v>
      </c>
      <c r="K62" s="2968" t="s">
        <v>3128</v>
      </c>
      <c r="L62" s="2968">
        <v>5283</v>
      </c>
      <c r="M62" s="2969" t="s">
        <v>3175</v>
      </c>
      <c r="N62" s="2968">
        <v>36.44</v>
      </c>
      <c r="O62" s="2968">
        <v>6.63</v>
      </c>
      <c r="P62" s="2968" t="s">
        <v>3198</v>
      </c>
    </row>
    <row r="63" spans="2:16" ht="90">
      <c r="B63">
        <f t="shared" si="0"/>
        <v>0</v>
      </c>
      <c r="C63">
        <v>5336</v>
      </c>
      <c r="D63">
        <v>5336</v>
      </c>
      <c r="E63">
        <v>6.64</v>
      </c>
      <c r="F63">
        <v>36.479999999999997</v>
      </c>
      <c r="J63" s="2968">
        <v>60</v>
      </c>
      <c r="K63" s="2968" t="s">
        <v>3128</v>
      </c>
      <c r="L63" s="2968">
        <v>5336</v>
      </c>
      <c r="M63" s="2969" t="s">
        <v>3175</v>
      </c>
      <c r="N63" s="2968">
        <v>36.479999999999997</v>
      </c>
      <c r="O63" s="2968">
        <v>6.64</v>
      </c>
      <c r="P63" s="2968" t="s">
        <v>3199</v>
      </c>
    </row>
    <row r="64" spans="2:16" ht="78.75">
      <c r="B64">
        <f t="shared" si="0"/>
        <v>0</v>
      </c>
      <c r="C64">
        <v>6087</v>
      </c>
      <c r="D64">
        <v>6087</v>
      </c>
      <c r="E64">
        <v>6.65</v>
      </c>
      <c r="F64">
        <v>36.56</v>
      </c>
      <c r="J64" s="2968">
        <v>61</v>
      </c>
      <c r="K64" s="2968" t="s">
        <v>3128</v>
      </c>
      <c r="L64" s="2968">
        <v>6087</v>
      </c>
      <c r="M64" s="2969" t="s">
        <v>3200</v>
      </c>
      <c r="N64" s="2968">
        <v>36.56</v>
      </c>
      <c r="O64" s="2968">
        <v>6.65</v>
      </c>
      <c r="P64" s="2968" t="s">
        <v>3201</v>
      </c>
    </row>
    <row r="65" spans="2:16" ht="78.75">
      <c r="B65">
        <f t="shared" si="0"/>
        <v>0</v>
      </c>
      <c r="C65">
        <v>6088</v>
      </c>
      <c r="D65">
        <v>6088</v>
      </c>
      <c r="E65">
        <v>7.29</v>
      </c>
      <c r="F65" s="2956">
        <v>40.04</v>
      </c>
      <c r="J65" s="2968">
        <v>62</v>
      </c>
      <c r="K65" s="2968" t="s">
        <v>3128</v>
      </c>
      <c r="L65" s="2968">
        <v>6088</v>
      </c>
      <c r="M65" s="2969" t="s">
        <v>3200</v>
      </c>
      <c r="N65" s="2968">
        <v>40.04</v>
      </c>
      <c r="O65" s="2968">
        <v>7.29</v>
      </c>
      <c r="P65" s="2968" t="s">
        <v>3202</v>
      </c>
    </row>
    <row r="66" spans="2:16" ht="78.75">
      <c r="B66">
        <f t="shared" si="0"/>
        <v>0</v>
      </c>
      <c r="C66">
        <v>6133</v>
      </c>
      <c r="D66">
        <v>6133</v>
      </c>
      <c r="E66">
        <v>5.64</v>
      </c>
      <c r="F66">
        <v>31.02</v>
      </c>
      <c r="J66" s="2968">
        <v>63</v>
      </c>
      <c r="K66" s="2968" t="s">
        <v>3128</v>
      </c>
      <c r="L66" s="2968">
        <v>6133</v>
      </c>
      <c r="M66" s="2969" t="s">
        <v>3200</v>
      </c>
      <c r="N66" s="2968">
        <v>31.02</v>
      </c>
      <c r="O66" s="2968">
        <v>5.64</v>
      </c>
      <c r="P66" s="2968" t="s">
        <v>3203</v>
      </c>
    </row>
    <row r="67" spans="2:16" ht="78.75">
      <c r="B67">
        <f t="shared" si="0"/>
        <v>0</v>
      </c>
      <c r="C67">
        <v>6134</v>
      </c>
      <c r="D67">
        <v>6134</v>
      </c>
      <c r="E67">
        <v>6.45</v>
      </c>
      <c r="F67">
        <v>35.450000000000003</v>
      </c>
      <c r="J67" s="2968">
        <v>64</v>
      </c>
      <c r="K67" s="2968" t="s">
        <v>3128</v>
      </c>
      <c r="L67" s="2968">
        <v>6134</v>
      </c>
      <c r="M67" s="2969" t="s">
        <v>3200</v>
      </c>
      <c r="N67" s="2968">
        <v>35.450000000000003</v>
      </c>
      <c r="O67" s="2968">
        <v>6.45</v>
      </c>
      <c r="P67" s="2968" t="s">
        <v>3204</v>
      </c>
    </row>
    <row r="68" spans="2:16" ht="78.75">
      <c r="B68">
        <f t="shared" si="0"/>
        <v>0</v>
      </c>
      <c r="C68">
        <v>6135</v>
      </c>
      <c r="D68">
        <v>6135</v>
      </c>
      <c r="E68">
        <v>6.25</v>
      </c>
      <c r="F68">
        <v>34.35</v>
      </c>
      <c r="J68" s="2968">
        <v>65</v>
      </c>
      <c r="K68" s="2968" t="s">
        <v>3128</v>
      </c>
      <c r="L68" s="2968">
        <v>6135</v>
      </c>
      <c r="M68" s="2969" t="s">
        <v>3200</v>
      </c>
      <c r="N68" s="2968">
        <v>34.35</v>
      </c>
      <c r="O68" s="2968">
        <v>6.25</v>
      </c>
      <c r="P68" s="2968" t="s">
        <v>3205</v>
      </c>
    </row>
    <row r="69" spans="2:16" ht="78.75">
      <c r="B69">
        <f t="shared" si="0"/>
        <v>0</v>
      </c>
      <c r="C69">
        <v>6218</v>
      </c>
      <c r="D69">
        <v>6218</v>
      </c>
      <c r="E69">
        <v>6.51</v>
      </c>
      <c r="F69">
        <v>35.79</v>
      </c>
      <c r="J69" s="2968">
        <v>66</v>
      </c>
      <c r="K69" s="2968" t="s">
        <v>3128</v>
      </c>
      <c r="L69" s="2968">
        <v>6218</v>
      </c>
      <c r="M69" s="2969" t="s">
        <v>3200</v>
      </c>
      <c r="N69" s="2968">
        <v>35.79</v>
      </c>
      <c r="O69" s="2968">
        <v>6.51</v>
      </c>
      <c r="P69" s="2968" t="s">
        <v>3206</v>
      </c>
    </row>
    <row r="70" spans="2:16" ht="90">
      <c r="B70">
        <f t="shared" si="0"/>
        <v>0</v>
      </c>
      <c r="C70">
        <v>6249</v>
      </c>
      <c r="D70">
        <v>6249</v>
      </c>
      <c r="E70">
        <v>1243.73</v>
      </c>
      <c r="F70">
        <v>6834.53</v>
      </c>
      <c r="J70" s="2968">
        <v>67</v>
      </c>
      <c r="K70" s="2968" t="s">
        <v>3128</v>
      </c>
      <c r="L70" s="2968">
        <v>6249</v>
      </c>
      <c r="M70" s="2969" t="s">
        <v>3175</v>
      </c>
      <c r="N70" s="2970">
        <v>6834.53</v>
      </c>
      <c r="O70" s="2970">
        <v>1243.73</v>
      </c>
      <c r="P70" s="2968" t="s">
        <v>3207</v>
      </c>
    </row>
    <row r="72" spans="2:16" ht="45">
      <c r="D72">
        <v>1012</v>
      </c>
      <c r="E72">
        <v>63.74</v>
      </c>
      <c r="F72">
        <v>350.27</v>
      </c>
      <c r="J72" s="2968">
        <v>2</v>
      </c>
      <c r="K72" s="2968" t="s">
        <v>3128</v>
      </c>
      <c r="L72" s="2968">
        <v>1012</v>
      </c>
      <c r="M72" s="2969" t="s">
        <v>3131</v>
      </c>
      <c r="N72" s="2968">
        <v>350.27</v>
      </c>
      <c r="O72" s="2968">
        <v>63.74</v>
      </c>
      <c r="P72" s="2968" t="s">
        <v>3132</v>
      </c>
    </row>
    <row r="73" spans="2:16">
      <c r="E73">
        <f>SUM(E4:E72)</f>
        <v>10164.629999999999</v>
      </c>
      <c r="F73">
        <f>SUM(F4:F72)</f>
        <v>36479.639999999992</v>
      </c>
      <c r="O73" s="2964">
        <f>SUM(O4:O72)</f>
        <v>10164.629999999999</v>
      </c>
    </row>
    <row r="75" spans="2:16">
      <c r="J75" s="2971"/>
      <c r="K75" s="2971"/>
      <c r="L75" s="2971"/>
      <c r="M75" s="2972" t="s">
        <v>3216</v>
      </c>
      <c r="N75" s="2973">
        <v>36535.629999999997</v>
      </c>
      <c r="O75" s="2972">
        <v>10174.82</v>
      </c>
      <c r="P75" s="2971"/>
    </row>
    <row r="76" spans="2:16" ht="45">
      <c r="J76" s="2968">
        <v>1</v>
      </c>
      <c r="K76" s="2968" t="s">
        <v>3217</v>
      </c>
      <c r="L76" s="2968">
        <v>7005</v>
      </c>
      <c r="M76" s="2969" t="s">
        <v>3218</v>
      </c>
      <c r="N76" s="2968">
        <v>202.33</v>
      </c>
      <c r="O76" s="2968">
        <v>36.82</v>
      </c>
      <c r="P76" s="2968" t="s">
        <v>3219</v>
      </c>
    </row>
    <row r="77" spans="2:16" ht="45">
      <c r="J77" s="2968">
        <v>2</v>
      </c>
      <c r="K77" s="2968" t="s">
        <v>3217</v>
      </c>
      <c r="L77" s="2968">
        <v>8003</v>
      </c>
      <c r="M77" s="2969" t="s">
        <v>3218</v>
      </c>
      <c r="N77" s="2968">
        <v>279.49</v>
      </c>
      <c r="O77" s="2968">
        <v>50.86</v>
      </c>
      <c r="P77" s="2968" t="s">
        <v>3220</v>
      </c>
    </row>
    <row r="78" spans="2:16">
      <c r="J78" s="2968"/>
      <c r="K78" s="2968"/>
      <c r="L78" s="2968"/>
      <c r="M78" s="2968" t="s">
        <v>3221</v>
      </c>
      <c r="N78" s="2968">
        <v>481.82</v>
      </c>
      <c r="O78" s="2968">
        <v>87.68</v>
      </c>
      <c r="P78" s="2968"/>
    </row>
    <row r="79" spans="2:16">
      <c r="J79" s="2971"/>
      <c r="K79" s="2971"/>
      <c r="L79" s="2971"/>
      <c r="M79" s="2972" t="s">
        <v>37</v>
      </c>
      <c r="N79" s="2972">
        <v>37017.449999999997</v>
      </c>
      <c r="O79" s="2972">
        <v>10262.5</v>
      </c>
      <c r="P79" s="2971"/>
    </row>
    <row r="81" spans="10:16" ht="45">
      <c r="J81" s="2968">
        <v>1</v>
      </c>
      <c r="K81" s="2968" t="s">
        <v>3128</v>
      </c>
      <c r="L81" s="2968">
        <v>1005</v>
      </c>
      <c r="M81" s="2969" t="s">
        <v>3129</v>
      </c>
      <c r="N81" s="2968">
        <v>38.950000000000003</v>
      </c>
      <c r="O81" s="2968">
        <v>7.09</v>
      </c>
      <c r="P81" s="2968" t="s">
        <v>3130</v>
      </c>
    </row>
    <row r="82" spans="10:16">
      <c r="J82" s="2968"/>
      <c r="K82" s="2968"/>
      <c r="L82" s="2968"/>
      <c r="M82" s="2969"/>
      <c r="N82" s="2968"/>
      <c r="O82" s="2968"/>
      <c r="P82" s="2968"/>
    </row>
    <row r="83" spans="10:16" ht="45">
      <c r="J83" s="2968">
        <v>3</v>
      </c>
      <c r="K83" s="2968" t="s">
        <v>3128</v>
      </c>
      <c r="L83" s="2968">
        <v>1013</v>
      </c>
      <c r="M83" s="2969" t="s">
        <v>3133</v>
      </c>
      <c r="N83" s="2968">
        <v>3.78</v>
      </c>
      <c r="O83" s="2968">
        <v>0.69</v>
      </c>
      <c r="P83" s="2968" t="s">
        <v>3134</v>
      </c>
    </row>
    <row r="84" spans="10:16" ht="45">
      <c r="J84" s="2968">
        <v>4</v>
      </c>
      <c r="K84" s="2968" t="s">
        <v>3128</v>
      </c>
      <c r="L84" s="2968">
        <v>1355</v>
      </c>
      <c r="M84" s="2969" t="s">
        <v>3135</v>
      </c>
      <c r="N84" s="2968">
        <v>13.26</v>
      </c>
      <c r="O84" s="2968">
        <v>2.41</v>
      </c>
      <c r="P84" s="2968" t="s">
        <v>3136</v>
      </c>
    </row>
  </sheetData>
  <sortState ref="D8:F73">
    <sortCondition ref="D8"/>
  </sortState>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G25" sqref="G2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9" t="s">
        <v>1936</v>
      </c>
      <c r="B2" s="3059"/>
      <c r="C2" s="3059"/>
      <c r="D2" s="967" t="s">
        <v>1912</v>
      </c>
      <c r="E2" s="2228" t="s">
        <v>1913</v>
      </c>
      <c r="F2" s="1392"/>
      <c r="G2" s="2229"/>
      <c r="H2" s="2230"/>
      <c r="I2" s="2231" t="s">
        <v>1937</v>
      </c>
      <c r="J2" s="1392"/>
      <c r="K2" s="1392"/>
      <c r="L2" s="1392"/>
      <c r="M2" s="1392"/>
      <c r="N2" s="1427"/>
      <c r="O2" s="1392"/>
      <c r="P2" s="1392"/>
    </row>
    <row r="3" spans="1:16" ht="15.75" thickBot="1">
      <c r="A3" s="3060" t="s">
        <v>1910</v>
      </c>
      <c r="B3" s="3060"/>
      <c r="C3" s="3060"/>
      <c r="D3" s="46">
        <f>'数据-基础表'!AY6</f>
        <v>10174.82</v>
      </c>
      <c r="E3" s="46">
        <f>'数据-基础表'!AZ5</f>
        <v>36535.62999999999</v>
      </c>
      <c r="F3" s="1392"/>
      <c r="G3" s="1399"/>
      <c r="H3" s="1247" t="s">
        <v>1911</v>
      </c>
      <c r="I3" s="55" t="e">
        <f>ROUND('数据-基础表'!B3/'数据-基础表'!A3,2)</f>
        <v>#DIV/0!</v>
      </c>
      <c r="J3" s="1392"/>
      <c r="K3" s="1392"/>
      <c r="L3" s="1392"/>
      <c r="M3" s="1392"/>
      <c r="N3" s="1427"/>
      <c r="O3" s="1392"/>
      <c r="P3" s="1392"/>
    </row>
    <row r="4" spans="1:16" ht="15">
      <c r="A4" s="3061"/>
      <c r="B4" s="3062"/>
      <c r="C4" s="3063"/>
      <c r="D4" s="2232" t="s">
        <v>1912</v>
      </c>
      <c r="E4" s="2233" t="s">
        <v>1913</v>
      </c>
      <c r="F4" s="1392"/>
      <c r="G4" s="2234" t="s">
        <v>1938</v>
      </c>
      <c r="H4" s="1247" t="s">
        <v>1918</v>
      </c>
      <c r="I4" s="55" t="e">
        <f>ROUND(SUMIF('数据-基础表'!I9:AS9,"地上",'数据-基础表'!I5:AS5)/'数据-基础表'!A3,2)</f>
        <v>#DIV/0!</v>
      </c>
      <c r="J4" s="1392"/>
      <c r="K4" s="1392"/>
      <c r="L4" s="1392"/>
      <c r="M4" s="1392"/>
      <c r="N4" s="1427"/>
      <c r="O4" s="1392"/>
      <c r="P4" s="1392"/>
    </row>
    <row r="5" spans="1:16">
      <c r="A5" s="47" t="s">
        <v>1914</v>
      </c>
      <c r="B5" s="3064" t="s">
        <v>1915</v>
      </c>
      <c r="C5" s="3064"/>
      <c r="D5" s="48">
        <f>ROUND($D$3*E5/$E$3,2)</f>
        <v>0</v>
      </c>
      <c r="E5" s="49">
        <f>SUMIF('数据-基础表'!$11:$11,"住宅",'数据-基础表'!$5:$5)</f>
        <v>0</v>
      </c>
      <c r="F5" s="1392"/>
      <c r="G5" s="1399"/>
      <c r="H5" s="1247" t="s">
        <v>1911</v>
      </c>
      <c r="I5" s="55">
        <f>ROUND(E31/D31,2)</f>
        <v>3.59</v>
      </c>
      <c r="J5" s="1392"/>
      <c r="K5" s="1392"/>
      <c r="L5" s="1392"/>
      <c r="M5" s="1392"/>
      <c r="N5" s="1392"/>
      <c r="O5" s="1392"/>
      <c r="P5" s="1392"/>
    </row>
    <row r="6" spans="1:16" ht="15" thickBot="1">
      <c r="A6" s="2235"/>
      <c r="B6" s="3064" t="s">
        <v>1916</v>
      </c>
      <c r="C6" s="3064"/>
      <c r="D6" s="48">
        <f>ROUND($D$3*E6/$E$3,2)</f>
        <v>10174.82</v>
      </c>
      <c r="E6" s="49">
        <f>E3-E5</f>
        <v>36535.62999999999</v>
      </c>
      <c r="F6" s="1392"/>
      <c r="G6" s="2236" t="s">
        <v>1917</v>
      </c>
      <c r="H6" s="1399" t="s">
        <v>1918</v>
      </c>
      <c r="I6" s="939">
        <f>ROUND(F31/D31,2)</f>
        <v>3.17</v>
      </c>
      <c r="J6" s="1392"/>
      <c r="K6" s="1392"/>
      <c r="L6" s="1392"/>
      <c r="M6" s="1392"/>
      <c r="N6" s="1392"/>
      <c r="O6" s="1392"/>
      <c r="P6" s="1392"/>
    </row>
    <row r="7" spans="1:16" ht="15">
      <c r="A7" s="3056"/>
      <c r="B7" s="3057"/>
      <c r="C7" s="3058"/>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8974.4500000000007</v>
      </c>
      <c r="E8" s="51">
        <f>SUMIF('数据-基础表'!BB10:BK10,"地上",'数据-基础表'!BB5:BK5)</f>
        <v>32225.339999999993</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1200.3699999999999</v>
      </c>
      <c r="E10" s="51">
        <f>SUMPRODUCT(('数据-基础表'!BB10:BK10="地下")*('数据-基础表'!BB11:BK11="商业")*('数据-基础表'!BB5:BK5))</f>
        <v>4310.29</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10174.82</v>
      </c>
      <c r="E16" s="53">
        <f>SUM(E8:E15)</f>
        <v>36535.62999999999</v>
      </c>
      <c r="F16" s="1392"/>
      <c r="G16" s="2238"/>
      <c r="H16" s="2241" t="s">
        <v>1940</v>
      </c>
      <c r="I16" s="2242"/>
      <c r="J16" s="1392"/>
      <c r="K16" s="3053" t="s">
        <v>1940</v>
      </c>
      <c r="L16" s="3054"/>
      <c r="M16" s="3054"/>
      <c r="N16" s="3054"/>
      <c r="O16" s="3054"/>
      <c r="P16" s="3055"/>
    </row>
    <row r="17" spans="1:19" ht="15">
      <c r="A17" s="2243" t="s">
        <v>1941</v>
      </c>
      <c r="B17" s="2244" t="s">
        <v>1942</v>
      </c>
      <c r="C17" s="2245" t="s">
        <v>1943</v>
      </c>
      <c r="D17" s="2246" t="s">
        <v>1931</v>
      </c>
      <c r="E17" s="2247" t="s">
        <v>1932</v>
      </c>
      <c r="F17" s="2248"/>
      <c r="G17" s="2249"/>
      <c r="H17" s="2250" t="s">
        <v>1944</v>
      </c>
      <c r="I17" s="2251" t="s">
        <v>1929</v>
      </c>
      <c r="J17" s="1392"/>
      <c r="K17" s="3050" t="s">
        <v>1945</v>
      </c>
      <c r="L17" s="3051"/>
      <c r="M17" s="3052"/>
      <c r="N17" s="3050" t="s">
        <v>1946</v>
      </c>
      <c r="O17" s="3051"/>
      <c r="P17" s="3052"/>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55">
        <v>1064</v>
      </c>
      <c r="D19" s="3309">
        <f>ROUND($D$3*E19/$E$3,2)</f>
        <v>15.26</v>
      </c>
      <c r="E19" s="56">
        <f t="shared" ref="E19:E26" si="1">SUM(F19:G19)</f>
        <v>54.79</v>
      </c>
      <c r="F19" s="57">
        <f>'数据-基础表'!I14</f>
        <v>54.79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15.26</v>
      </c>
      <c r="S19" s="1248">
        <f t="shared" si="5"/>
        <v>54.79</v>
      </c>
    </row>
    <row r="20" spans="1:19">
      <c r="A20" s="2264"/>
      <c r="B20" s="50" t="s">
        <v>1958</v>
      </c>
      <c r="C20" s="2955" t="s">
        <v>3067</v>
      </c>
      <c r="D20" s="48">
        <f t="shared" ref="D20:D26" si="6">ROUND($D$3*E20/$E$3,2)</f>
        <v>10159.56</v>
      </c>
      <c r="E20" s="56">
        <f t="shared" si="1"/>
        <v>36480.839999999989</v>
      </c>
      <c r="F20" s="57">
        <f>'数据-基础表'!I5-'数据-基础表'!I14</f>
        <v>32170.549999999992</v>
      </c>
      <c r="G20" s="58">
        <f>'数据-基础表'!K5</f>
        <v>4310.29</v>
      </c>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10159.56</v>
      </c>
      <c r="S20" s="1248">
        <f t="shared" si="5"/>
        <v>36480.839999999989</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10174.82</v>
      </c>
      <c r="E27" s="1394">
        <f>IF(SUM(E19:E26)='数据-基础表'!BA5,SUM(E19:E26),IF(F27="地上面积有误","面积有误","地下面积有误"))</f>
        <v>36535.62999999999</v>
      </c>
      <c r="F27" s="1393">
        <f>IF(SUM(F19:F26)=E8,SUM(F19:F26),"地上面积有误")</f>
        <v>32225.339999999993</v>
      </c>
      <c r="G27" s="1395">
        <f>SUM(G19:G26)</f>
        <v>4310.29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10174.82</v>
      </c>
      <c r="S27" s="1247">
        <f>IF(SUM(S19:S26)=$E$3,SUM(S19:S26),SUM(S19:S26)&amp;"误差"&amp;ROUND(SUM(S19:S26)-E3,2))</f>
        <v>36535.62999999999</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10174.82</v>
      </c>
      <c r="E31" s="729">
        <f>E27+E30</f>
        <v>36535.62999999999</v>
      </c>
      <c r="F31" s="730">
        <f>F27+F30</f>
        <v>32225.339999999993</v>
      </c>
      <c r="G31" s="731">
        <f>G27+G30</f>
        <v>4310.29</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43619</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3063</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f>'数据-汇总表'!C19</f>
        <v>1064</v>
      </c>
      <c r="B6" s="2308" t="str">
        <f>IF(A6=0,"","经营性")</f>
        <v>经营性</v>
      </c>
      <c r="C6" s="2309" t="s">
        <v>1373</v>
      </c>
      <c r="D6" s="1051">
        <f>SUMIF(项目基本情况!D$12:I$12,C6,项目基本情况!D$14:I$14)</f>
        <v>40</v>
      </c>
      <c r="E6" s="1048">
        <f>IF(B6="","",SUMIF(项目基本情况!D$12:I$12,C6,项目基本情况!D$13:I$13))</f>
        <v>56383</v>
      </c>
      <c r="F6" s="72">
        <f>SUMIF(项目基本情况!D$12:I$12,C6,项目基本情况!D$15:I$15)</f>
        <v>34.96</v>
      </c>
      <c r="G6" s="73">
        <f>IF(ISERROR(ROUND(POWER(1+H6,D6-F6)*(POWER(1+H6,F6)-1)/(POWER(1+H6,D6)-1),3)),0,ROUND(POWER(1+H6,D6-F6)*(POWER(1+H6,F6)-1)/(POWER(1+H6,D6)-1),3))</f>
        <v>0.95899999999999996</v>
      </c>
      <c r="H6" s="802">
        <v>5.5E-2</v>
      </c>
      <c r="I6" s="802">
        <v>0.06</v>
      </c>
      <c r="J6" s="74">
        <v>0.08</v>
      </c>
      <c r="K6" s="1251">
        <f>SUMIF('数据-汇总表'!C$19:C$33,A6,'数据-汇总表'!E$19:E$33)</f>
        <v>54.79</v>
      </c>
      <c r="L6" s="803">
        <v>3500</v>
      </c>
      <c r="M6" s="75">
        <f t="shared" ref="M6:M14" si="0">ROUND(K6*L6/10000,0)</f>
        <v>19</v>
      </c>
      <c r="N6" s="801">
        <v>0.95</v>
      </c>
      <c r="O6" s="75" t="str">
        <f>IF($N$5="成新度","——",ROUND(M6*N6,0))</f>
        <v>——</v>
      </c>
      <c r="P6" s="76" t="str">
        <f>IF($N$5="成新度","——",M6-O6)</f>
        <v>——</v>
      </c>
      <c r="Q6" s="804">
        <v>0.2</v>
      </c>
      <c r="R6" s="77">
        <f ca="1">SUMIF('数据-汇总表'!C$19:C$33,A6,'数据-汇总表'!R$19:R$27)</f>
        <v>15.26</v>
      </c>
      <c r="S6" s="54">
        <f>IF('数据-汇总表'!$I$17="按面积比例",SUMIF('数据-汇总表'!C$19:C$33,A6,'数据-汇总表'!K$19:K$33),SUMIF('数据-汇总表'!C$19:C$33,A6,'数据-汇总表'!N$19:N$33))</f>
        <v>0</v>
      </c>
      <c r="T6" s="1443">
        <f>ROUND($L$14*S6/10000,0)</f>
        <v>0</v>
      </c>
      <c r="U6" s="78">
        <v>4.5</v>
      </c>
      <c r="V6" s="79">
        <v>0.03</v>
      </c>
      <c r="W6" s="79">
        <v>0.1</v>
      </c>
      <c r="X6" s="1261"/>
      <c r="Y6" s="80">
        <f>N6</f>
        <v>0.95</v>
      </c>
      <c r="Z6" s="81"/>
      <c r="AA6" s="74"/>
      <c r="AB6" s="74"/>
      <c r="AC6" s="1261"/>
      <c r="AD6" s="82"/>
      <c r="AE6" s="1262">
        <f ca="1">IF(AN6="",0,SUMIF(INDIRECT("'"&amp;AN6&amp;"'"&amp;"!E:E"),$AE$5,INDIRECT("'"&amp;AN6&amp;"'"&amp;"!F:F")))</f>
        <v>34.96</v>
      </c>
      <c r="AF6" s="1804"/>
      <c r="AG6" s="147">
        <f>IF(AF6="",0,AE6-AF6)</f>
        <v>0</v>
      </c>
      <c r="AH6" s="83"/>
      <c r="AI6" s="85">
        <v>365</v>
      </c>
      <c r="AJ6" s="86"/>
      <c r="AK6" s="87">
        <v>1.4999999999999999E-2</v>
      </c>
      <c r="AL6" s="88">
        <v>1.5E-3</v>
      </c>
      <c r="AM6" s="89">
        <v>0.02</v>
      </c>
      <c r="AN6" s="2310" t="s">
        <v>3068</v>
      </c>
      <c r="AO6" s="55">
        <f ca="1">SUMIF(INDIRECT("'"&amp;AN6&amp;"'"&amp;"!A:A"),"总价",INDIRECT("'"&amp;AN6&amp;"'"&amp;"!B:B"))</f>
        <v>128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其余</v>
      </c>
      <c r="B7" s="2308" t="str">
        <f t="shared" ref="B7:B13" si="1">IF(A7=0,"","经营性")</f>
        <v>经营性</v>
      </c>
      <c r="C7" s="230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36480.839999999989</v>
      </c>
      <c r="L7" s="803"/>
      <c r="M7" s="75">
        <f t="shared" si="0"/>
        <v>0</v>
      </c>
      <c r="N7" s="801"/>
      <c r="O7" s="75" t="str">
        <f t="shared" ref="O7:O14" si="3">IF($N$5="成新度","——",ROUND(M7*N7,0))</f>
        <v>——</v>
      </c>
      <c r="P7" s="76" t="str">
        <f t="shared" ref="P7:P14" si="4">IF($N$5="成新度","——",M7-O7)</f>
        <v>——</v>
      </c>
      <c r="Q7" s="804"/>
      <c r="R7" s="77">
        <f ca="1">SUMIF('数据-汇总表'!C$19:C$33,A7,'数据-汇总表'!R$19:R$27)</f>
        <v>10159.56</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0.95899999999999996</v>
      </c>
      <c r="H16" s="99">
        <f>ROUND(SUMPRODUCT(H6:H13,K6:K13)/SUMPRODUCT((H6:H13&gt;0)*(K6:K13)),3)</f>
        <v>5.5E-2</v>
      </c>
      <c r="I16" s="100"/>
      <c r="J16" s="100"/>
      <c r="K16" s="101">
        <f>SUM(K6:K15)</f>
        <v>36535.62999999999</v>
      </c>
      <c r="L16" s="102">
        <f>ROUND(M16*10000/SUM(K6:K14),0)</f>
        <v>5</v>
      </c>
      <c r="M16" s="102">
        <f>SUM(M6:M14)</f>
        <v>19</v>
      </c>
      <c r="N16" s="103">
        <f>ROUND(SUMPRODUCT(M6:M14,N6:N14)/M16,3)</f>
        <v>0.95</v>
      </c>
      <c r="O16" s="102">
        <f>SUM(O6:O14)</f>
        <v>0</v>
      </c>
      <c r="P16" s="102">
        <f>SUM(P6:P14)</f>
        <v>0</v>
      </c>
      <c r="Q16" s="104">
        <f>ROUND(SUMPRODUCT(Q6:Q13,K6:K13)/SUMPRODUCT((Q6:Q13&gt;0)*(K6:K13)),2)</f>
        <v>0.2</v>
      </c>
      <c r="R16" s="1255">
        <f ca="1">SUM(R6:R13)</f>
        <v>10174.82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2.5</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2.5</v>
      </c>
      <c r="C21" s="2278"/>
      <c r="D21" s="2279"/>
      <c r="E21" s="2278"/>
      <c r="F21" s="2278"/>
      <c r="G21" s="2278"/>
      <c r="H21" s="2278"/>
      <c r="I21" s="2278"/>
      <c r="J21" s="2278"/>
      <c r="K21" s="168"/>
      <c r="L21" s="168"/>
      <c r="M21" s="1581"/>
      <c r="N21" s="1581">
        <v>2010</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2.5</v>
      </c>
      <c r="C22" s="2278"/>
      <c r="D22" s="2279"/>
      <c r="E22" s="2278"/>
      <c r="F22" s="2278"/>
      <c r="G22" s="2278"/>
      <c r="H22" s="2278"/>
      <c r="I22" s="2278"/>
      <c r="J22" s="2278"/>
      <c r="K22" s="168"/>
      <c r="L22" s="168"/>
      <c r="M22" s="1581"/>
      <c r="N22" s="1581">
        <v>2019</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2.5</v>
      </c>
      <c r="C23" s="2278"/>
      <c r="D23" s="2279"/>
      <c r="E23" s="2278"/>
      <c r="F23" s="2278"/>
      <c r="G23" s="2278"/>
      <c r="H23" s="2278"/>
      <c r="I23" s="2278"/>
      <c r="J23" s="2278"/>
      <c r="K23" s="168"/>
      <c r="L23" s="168"/>
      <c r="M23" s="1581"/>
      <c r="N23" s="1581">
        <f>N22-N21</f>
        <v>9</v>
      </c>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v>60</v>
      </c>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f>N24-N23</f>
        <v>51</v>
      </c>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f>N25/N24</f>
        <v>0.85</v>
      </c>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140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0.04</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269</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v>10</v>
      </c>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5" t="s">
        <v>2081</v>
      </c>
      <c r="B1" s="3066"/>
      <c r="C1" s="3066"/>
      <c r="D1" s="3066"/>
      <c r="E1" s="3066"/>
      <c r="F1" s="3066"/>
      <c r="G1" s="306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41106.729999999967</v>
      </c>
      <c r="C1" s="1742"/>
      <c r="D1" s="1742"/>
      <c r="E1" s="1742"/>
      <c r="F1" s="1742"/>
      <c r="G1" s="1740"/>
    </row>
    <row r="2" spans="1:10" ht="16.5">
      <c r="A2" s="1743" t="s">
        <v>1349</v>
      </c>
      <c r="B2" s="1743">
        <f>SUM(C14:C23)</f>
        <v>12977.67</v>
      </c>
      <c r="C2" s="1742"/>
      <c r="D2" s="1742"/>
      <c r="E2" s="1742"/>
      <c r="F2" s="1742"/>
      <c r="G2" s="1740"/>
    </row>
    <row r="3" spans="1:10" ht="16.5">
      <c r="A3" s="1743" t="s">
        <v>1358</v>
      </c>
      <c r="B3" s="1744">
        <f>项目基本情况!D3</f>
        <v>43619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76526</v>
      </c>
      <c r="C5" s="1743">
        <f ca="1">ROUND(B5*10000/$B$1,0)</f>
        <v>18616</v>
      </c>
      <c r="D5" s="1743">
        <f ca="1">ROUND(B5*10000/$B$2,0)</f>
        <v>58967</v>
      </c>
      <c r="E5" s="1742"/>
      <c r="F5" s="1740"/>
      <c r="G5" s="1740"/>
    </row>
    <row r="6" spans="1:10" ht="16.5">
      <c r="A6" s="1743" t="s">
        <v>1352</v>
      </c>
      <c r="B6" s="1743">
        <f ca="1">SUM(G14:G23)</f>
        <v>76526</v>
      </c>
      <c r="C6" s="1743">
        <f ca="1">ROUND(B6*10000/$B$1,0)</f>
        <v>18616</v>
      </c>
      <c r="D6" s="1743">
        <f ca="1">ROUND(B6*10000/$B$2,0)</f>
        <v>58967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54.79</v>
      </c>
      <c r="C14" s="1741">
        <f>结果表!C118</f>
        <v>15.26</v>
      </c>
      <c r="D14" s="1741">
        <f ca="1">结果表!H118</f>
        <v>160</v>
      </c>
      <c r="E14" s="1741">
        <f ca="1">ROUND(D14*10000/B14,0)</f>
        <v>29202</v>
      </c>
      <c r="F14" s="1741">
        <f ca="1">ROUND(D14*10000/C14,0)</f>
        <v>104849</v>
      </c>
      <c r="G14" s="1741">
        <f ca="1">结果表!D122</f>
        <v>160</v>
      </c>
      <c r="H14" s="1741" t="str">
        <f>结果表!D124</f>
        <v>——</v>
      </c>
      <c r="I14" s="1741" t="str">
        <f>结果表!D126</f>
        <v>——</v>
      </c>
      <c r="J14" s="1740"/>
    </row>
    <row r="15" spans="1:10" ht="16.5">
      <c r="A15" s="1739" t="s">
        <v>1345</v>
      </c>
      <c r="B15" s="1746">
        <f>'数据-汇总表'!E20</f>
        <v>36480.839999999989</v>
      </c>
      <c r="C15" s="1746">
        <f>'数据-汇总表'!D20</f>
        <v>10159.56</v>
      </c>
      <c r="D15" s="1746">
        <f ca="1">典型户型修正!B20-典型户型修正!S24</f>
        <v>72171</v>
      </c>
      <c r="E15" s="1741">
        <f t="shared" ref="E15:E23" ca="1" si="0">ROUND(D15*10000/B15,0)</f>
        <v>19783</v>
      </c>
      <c r="F15" s="1741">
        <f t="shared" ref="F15:F23" ca="1" si="1">ROUND(D15*10000/C15,0)</f>
        <v>71038</v>
      </c>
      <c r="G15" s="1747">
        <f ca="1">D15</f>
        <v>72171</v>
      </c>
      <c r="H15" s="1747"/>
      <c r="I15" s="1746"/>
      <c r="J15" s="1740"/>
    </row>
    <row r="16" spans="1:10" ht="16.5">
      <c r="A16" s="1739" t="s">
        <v>1344</v>
      </c>
      <c r="B16" s="1746">
        <f>[1]系统读取表!$B$1</f>
        <v>4089.2799999999766</v>
      </c>
      <c r="C16" s="1746">
        <f>[1]系统读取表!$B$2</f>
        <v>2715.1699999999996</v>
      </c>
      <c r="D16" s="1746">
        <f ca="1">[1]系统读取表!$B$5</f>
        <v>3650</v>
      </c>
      <c r="E16" s="1741">
        <f t="shared" ca="1" si="0"/>
        <v>8926</v>
      </c>
      <c r="F16" s="1741">
        <f t="shared" ca="1" si="1"/>
        <v>13443</v>
      </c>
      <c r="G16" s="1747">
        <f ca="1">[1]系统读取表!$B$6</f>
        <v>3650</v>
      </c>
      <c r="H16" s="1747"/>
      <c r="I16" s="1746"/>
    </row>
    <row r="17" spans="1:9" ht="16.5">
      <c r="A17" s="1739" t="s">
        <v>1343</v>
      </c>
      <c r="B17" s="1746">
        <f>[2]系统读取表!$B$14</f>
        <v>481.82000000000005</v>
      </c>
      <c r="C17" s="1746">
        <f>[2]系统读取表!$B$2</f>
        <v>87.68</v>
      </c>
      <c r="D17" s="1746">
        <f ca="1">[2]系统读取表!$B$5</f>
        <v>545</v>
      </c>
      <c r="E17" s="1741">
        <f t="shared" ca="1" si="0"/>
        <v>11311</v>
      </c>
      <c r="F17" s="1741">
        <f t="shared" ca="1" si="1"/>
        <v>62158</v>
      </c>
      <c r="G17" s="1747">
        <f ca="1">[2]系统读取表!$B$6</f>
        <v>545</v>
      </c>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v>1064</v>
      </c>
      <c r="D1" s="2420"/>
      <c r="E1" s="2420"/>
      <c r="F1" s="2422" t="s">
        <v>2119</v>
      </c>
      <c r="G1" s="2071" t="s">
        <v>3223</v>
      </c>
      <c r="H1" s="2423" t="str">
        <f>IF(G1="现房","——","估价对象范围")</f>
        <v>——</v>
      </c>
      <c r="I1" s="2424"/>
    </row>
    <row r="2" spans="1:12" ht="21.75" customHeight="1" thickBot="1">
      <c r="A2" s="3139" t="str">
        <f>项目基本情况!S2</f>
        <v>房地产</v>
      </c>
      <c r="B2" s="3140"/>
      <c r="C2" s="3140"/>
      <c r="D2" s="3140"/>
      <c r="E2" s="3140"/>
      <c r="F2" s="3140"/>
      <c r="G2" s="3140"/>
      <c r="H2" s="3140"/>
      <c r="I2" s="3141"/>
    </row>
    <row r="3" spans="1:12" ht="12.75">
      <c r="A3" s="3142" t="s">
        <v>2120</v>
      </c>
      <c r="B3" s="3143"/>
      <c r="C3" s="3143"/>
      <c r="D3" s="3143"/>
      <c r="E3" s="3143"/>
      <c r="F3" s="3143"/>
      <c r="G3" s="3143"/>
      <c r="H3" s="3143"/>
      <c r="I3" s="3143"/>
    </row>
    <row r="4" spans="1:12" ht="14.25">
      <c r="A4" s="2427" t="s">
        <v>2121</v>
      </c>
      <c r="B4" s="2428" t="s">
        <v>2122</v>
      </c>
      <c r="C4" s="2429" t="s">
        <v>3116</v>
      </c>
      <c r="D4" s="2429" t="s">
        <v>3068</v>
      </c>
      <c r="E4" s="3123" t="s">
        <v>2123</v>
      </c>
      <c r="F4" s="3136"/>
      <c r="G4" s="3136"/>
      <c r="H4" s="3136"/>
      <c r="I4" s="3124"/>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2124</v>
      </c>
      <c r="B5" s="3040">
        <v>25</v>
      </c>
      <c r="C5" s="3144"/>
      <c r="D5" s="3132"/>
      <c r="E5" s="140" t="s">
        <v>2125</v>
      </c>
      <c r="F5" s="2431"/>
      <c r="G5" s="2431"/>
      <c r="H5" s="2431"/>
      <c r="I5" s="1831"/>
    </row>
    <row r="6" spans="1:12" ht="12.75">
      <c r="A6" s="3114"/>
      <c r="B6" s="3040"/>
      <c r="C6" s="3146"/>
      <c r="D6" s="3132"/>
      <c r="E6" s="140" t="s">
        <v>2126</v>
      </c>
      <c r="F6" s="2431"/>
      <c r="G6" s="2431"/>
      <c r="H6" s="2431"/>
      <c r="I6" s="1831"/>
    </row>
    <row r="7" spans="1:12" ht="12.75">
      <c r="A7" s="3114"/>
      <c r="B7" s="3040"/>
      <c r="C7" s="3145"/>
      <c r="D7" s="3132"/>
      <c r="E7" s="140" t="s">
        <v>2127</v>
      </c>
      <c r="F7" s="2431"/>
      <c r="G7" s="2431"/>
      <c r="H7" s="2431"/>
      <c r="I7" s="1831"/>
    </row>
    <row r="8" spans="1:12" ht="12.75">
      <c r="A8" s="3114" t="s">
        <v>2128</v>
      </c>
      <c r="B8" s="3040">
        <v>15</v>
      </c>
      <c r="C8" s="3144"/>
      <c r="D8" s="3132"/>
      <c r="E8" s="140" t="s">
        <v>2129</v>
      </c>
      <c r="F8" s="2431"/>
      <c r="G8" s="2431"/>
      <c r="H8" s="2431"/>
      <c r="I8" s="1831"/>
    </row>
    <row r="9" spans="1:12" ht="12.75">
      <c r="A9" s="3114"/>
      <c r="B9" s="3040"/>
      <c r="C9" s="3145"/>
      <c r="D9" s="3132"/>
      <c r="E9" s="140" t="s">
        <v>2130</v>
      </c>
      <c r="F9" s="2431"/>
      <c r="G9" s="2431"/>
      <c r="H9" s="2431"/>
      <c r="I9" s="1831"/>
    </row>
    <row r="10" spans="1:12" ht="12.75">
      <c r="A10" s="3114" t="s">
        <v>2131</v>
      </c>
      <c r="B10" s="3040">
        <v>15</v>
      </c>
      <c r="C10" s="3144"/>
      <c r="D10" s="3132"/>
      <c r="E10" s="140" t="s">
        <v>2132</v>
      </c>
      <c r="F10" s="2431"/>
      <c r="G10" s="2431"/>
      <c r="H10" s="2431"/>
      <c r="I10" s="1831"/>
    </row>
    <row r="11" spans="1:12" ht="12.75">
      <c r="A11" s="3114"/>
      <c r="B11" s="3040"/>
      <c r="C11" s="3145"/>
      <c r="D11" s="3132"/>
      <c r="E11" s="140" t="s">
        <v>2133</v>
      </c>
      <c r="F11" s="2431"/>
      <c r="G11" s="2431"/>
      <c r="H11" s="2431"/>
      <c r="I11" s="1831"/>
    </row>
    <row r="12" spans="1:12" ht="12.75">
      <c r="A12" s="3114" t="s">
        <v>2134</v>
      </c>
      <c r="B12" s="3040">
        <v>15</v>
      </c>
      <c r="C12" s="3144"/>
      <c r="D12" s="3132"/>
      <c r="E12" s="140" t="s">
        <v>2135</v>
      </c>
      <c r="F12" s="2431"/>
      <c r="G12" s="2431"/>
      <c r="H12" s="2431"/>
      <c r="I12" s="1831"/>
    </row>
    <row r="13" spans="1:12" ht="12.75">
      <c r="A13" s="3114"/>
      <c r="B13" s="3040"/>
      <c r="C13" s="3145"/>
      <c r="D13" s="3132"/>
      <c r="E13" s="140" t="s">
        <v>2136</v>
      </c>
      <c r="F13" s="2431"/>
      <c r="G13" s="2431"/>
      <c r="H13" s="2431"/>
      <c r="I13" s="1831"/>
    </row>
    <row r="14" spans="1:12" ht="12.75">
      <c r="A14" s="3114" t="s">
        <v>2137</v>
      </c>
      <c r="B14" s="3040">
        <v>30</v>
      </c>
      <c r="C14" s="3144">
        <v>6</v>
      </c>
      <c r="D14" s="3132">
        <v>4</v>
      </c>
      <c r="E14" s="140" t="s">
        <v>2138</v>
      </c>
      <c r="F14" s="2431"/>
      <c r="G14" s="2431"/>
      <c r="H14" s="2431"/>
      <c r="I14" s="1831"/>
    </row>
    <row r="15" spans="1:12" ht="12.75">
      <c r="A15" s="3114"/>
      <c r="B15" s="3040"/>
      <c r="C15" s="3146"/>
      <c r="D15" s="3132"/>
      <c r="E15" s="140" t="s">
        <v>2139</v>
      </c>
      <c r="F15" s="2431"/>
      <c r="G15" s="2431"/>
      <c r="H15" s="2431"/>
      <c r="I15" s="1831"/>
    </row>
    <row r="16" spans="1:12" ht="12.75">
      <c r="A16" s="3114"/>
      <c r="B16" s="3040"/>
      <c r="C16" s="3145"/>
      <c r="D16" s="3132"/>
      <c r="E16" s="140" t="s">
        <v>2140</v>
      </c>
      <c r="F16" s="2431"/>
      <c r="G16" s="2431"/>
      <c r="H16" s="2431"/>
      <c r="I16" s="1831"/>
    </row>
    <row r="17" spans="1:35" ht="15">
      <c r="A17" s="2432" t="s">
        <v>2141</v>
      </c>
      <c r="B17" s="64"/>
      <c r="C17" s="141">
        <f>SUM(C5:C16)</f>
        <v>6</v>
      </c>
      <c r="D17" s="141">
        <f>SUM(D5:D16)</f>
        <v>4</v>
      </c>
      <c r="E17" s="138"/>
      <c r="F17" s="138"/>
      <c r="G17" s="138"/>
      <c r="H17" s="138"/>
      <c r="I17" s="138"/>
      <c r="K17" s="2430"/>
      <c r="L17" s="2433" t="s">
        <v>2142</v>
      </c>
      <c r="M17" s="2433" t="s">
        <v>2143</v>
      </c>
    </row>
    <row r="18" spans="1:35" ht="15.75" thickBot="1">
      <c r="A18" s="2434" t="s">
        <v>2144</v>
      </c>
      <c r="B18" s="2435"/>
      <c r="C18" s="142">
        <f>ROUND(C17/SUM(C17:D17),2)</f>
        <v>0.6</v>
      </c>
      <c r="D18" s="142">
        <f>1-C18</f>
        <v>0.4</v>
      </c>
      <c r="E18" s="138"/>
      <c r="F18" s="138"/>
      <c r="G18" s="138"/>
      <c r="H18" s="138"/>
      <c r="I18" s="138"/>
      <c r="K18" s="2430" t="s">
        <v>2145</v>
      </c>
      <c r="L18" s="2430">
        <f>IF(C1="",'数据-汇总表'!E3,SUMIF(项目类型,C1,'数据-汇总表'!E17:E26)+SUMIF(项目类型,C1,'数据-汇总表'!I17:I26))</f>
        <v>54.79</v>
      </c>
      <c r="M18" s="2430">
        <f>IF(C1="",'数据-汇总表'!E3,SUMIF(项目类型,C1,'数据-汇总表'!E17:E26))</f>
        <v>54.79</v>
      </c>
    </row>
    <row r="19" spans="1:35" ht="15">
      <c r="A19" s="2436" t="s">
        <v>2146</v>
      </c>
      <c r="B19" s="2437" t="s">
        <v>2147</v>
      </c>
      <c r="C19" s="143">
        <f ca="1">SUMIF(INDIRECT("'"&amp;C4&amp;"'"&amp;"!A:A"),结果表!B19,INDIRECT("'"&amp;C4&amp;"'"&amp;"!B:B"))</f>
        <v>182</v>
      </c>
      <c r="D19" s="144">
        <f ca="1">SUMIF(INDIRECT("'"&amp;D4&amp;"'"&amp;"!A:A"),结果表!B19,INDIRECT("'"&amp;D4&amp;"'"&amp;"!B:B"))</f>
        <v>128</v>
      </c>
      <c r="E19" s="2436" t="s">
        <v>2148</v>
      </c>
      <c r="F19" s="2437" t="s">
        <v>2147</v>
      </c>
      <c r="G19" s="145">
        <f ca="1">ROUND(C19*$C$18+D19*$D$18,0)</f>
        <v>160</v>
      </c>
      <c r="H19" s="2438" t="s">
        <v>2149</v>
      </c>
      <c r="I19" s="138"/>
      <c r="K19" s="2430" t="s">
        <v>2150</v>
      </c>
      <c r="L19" s="2430">
        <f>IF(C1="",'数据-汇总表'!D3,SUMIF(项目类型,C1,'数据-汇总表'!D17:D26)+SUMIF(项目类型,C1,'数据-汇总表'!H17:H27))</f>
        <v>15.26</v>
      </c>
      <c r="M19" s="2430">
        <f>IF(C1="",'数据-汇总表'!D3,SUMIF(项目类型,C1,'数据-汇总表'!D17:D26))</f>
        <v>15.26</v>
      </c>
    </row>
    <row r="20" spans="1:35" ht="15">
      <c r="A20" s="2439"/>
      <c r="B20" s="1247" t="s">
        <v>2151</v>
      </c>
      <c r="C20" s="146">
        <f ca="1">SUMIF(INDIRECT("'"&amp;C4&amp;"'"&amp;"!A:A"),结果表!B20,INDIRECT("'"&amp;C4&amp;"'"&amp;"!B:B"))</f>
        <v>33291</v>
      </c>
      <c r="D20" s="147">
        <f ca="1">SUMIF(INDIRECT("'"&amp;D4&amp;"'"&amp;"!A:A"),结果表!B20,INDIRECT("'"&amp;D4&amp;"'"&amp;"!B:B"))</f>
        <v>23362</v>
      </c>
      <c r="E20" s="2439"/>
      <c r="F20" s="1247" t="s">
        <v>2151</v>
      </c>
      <c r="G20" s="148">
        <f ca="1">ROUND(C20*$C$18+D20*$D$18,0)</f>
        <v>29319</v>
      </c>
      <c r="H20" s="980" t="s">
        <v>2152</v>
      </c>
      <c r="I20" s="138"/>
    </row>
    <row r="21" spans="1:35" ht="15" customHeight="1" thickBot="1">
      <c r="A21" s="1000"/>
      <c r="B21" s="2440" t="s">
        <v>2153</v>
      </c>
      <c r="C21" s="789">
        <f ca="1">ROUND(C19*10000/L19,0)</f>
        <v>119266</v>
      </c>
      <c r="D21" s="790">
        <f ca="1">ROUND(D19*10000/L19,0)</f>
        <v>83879</v>
      </c>
      <c r="E21" s="1000"/>
      <c r="F21" s="2440" t="s">
        <v>2153</v>
      </c>
      <c r="G21" s="149">
        <f ca="1">ROUND(G19*10000/L19,0)</f>
        <v>104849</v>
      </c>
      <c r="H21" s="2441" t="s">
        <v>2152</v>
      </c>
      <c r="I21" s="138"/>
    </row>
    <row r="22" spans="1:35" ht="15" thickBot="1">
      <c r="A22" s="2282" t="s">
        <v>2154</v>
      </c>
      <c r="B22" s="2442"/>
      <c r="C22" s="2443"/>
      <c r="D22" s="791">
        <f ca="1">IF(C19&lt;D19,D19/C19-1,C19/D19-1)</f>
        <v>0.421875</v>
      </c>
      <c r="E22" s="138"/>
      <c r="F22" s="138"/>
      <c r="G22" s="138"/>
      <c r="H22" s="138"/>
      <c r="I22" s="138"/>
    </row>
    <row r="23" spans="1:35" ht="13.5" thickBot="1">
      <c r="A23" s="2420"/>
      <c r="B23" s="2420"/>
      <c r="C23" s="2420"/>
      <c r="D23" s="2420"/>
      <c r="E23" s="138"/>
      <c r="F23" s="138"/>
      <c r="G23" s="138"/>
      <c r="H23" s="138"/>
      <c r="I23" s="138"/>
    </row>
    <row r="24" spans="1:35" ht="14.25">
      <c r="A24" s="3153" t="s">
        <v>2155</v>
      </c>
      <c r="B24" s="2437" t="s">
        <v>2147</v>
      </c>
      <c r="C24" s="145">
        <f>IF(B30=0,0,D30)</f>
        <v>0</v>
      </c>
      <c r="D24" s="2444"/>
      <c r="E24" s="138"/>
      <c r="F24" s="138"/>
      <c r="G24" s="138"/>
      <c r="H24" s="138"/>
      <c r="I24" s="138"/>
    </row>
    <row r="25" spans="1:35" ht="14.25">
      <c r="A25" s="3154"/>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160</v>
      </c>
      <c r="D32" s="2451" t="s">
        <v>2162</v>
      </c>
      <c r="E32" s="138"/>
      <c r="F32" s="138"/>
      <c r="G32" s="138"/>
      <c r="H32" s="138"/>
      <c r="I32" s="138"/>
    </row>
    <row r="33" spans="1:15" ht="15">
      <c r="A33" s="957" t="s">
        <v>2163</v>
      </c>
      <c r="B33" s="2452"/>
      <c r="C33" s="2453" t="s">
        <v>3222</v>
      </c>
      <c r="D33" s="2454" t="s">
        <v>3068</v>
      </c>
      <c r="E33" s="2455" t="s">
        <v>2164</v>
      </c>
      <c r="F33" s="2456" t="str">
        <f>IF(D32="楼面单价","取值（单价）","取值（总价）")</f>
        <v>取值（总价）</v>
      </c>
      <c r="G33" s="138"/>
      <c r="H33" s="138"/>
      <c r="I33" s="138"/>
    </row>
    <row r="34" spans="1:15" ht="15">
      <c r="A34" s="2457"/>
      <c r="B34" s="2458" t="s">
        <v>2165</v>
      </c>
      <c r="C34" s="157">
        <f ca="1">IF(C33="自定义",F34,C32-C35)</f>
        <v>107</v>
      </c>
      <c r="D34" s="1055">
        <f ca="1">IF(C33="自定义",ROUND(C34/C32,3),IF(C33="收益比率",SUMIF(INDIRECT("'"&amp;D33&amp;"'"&amp;"!b:b"),"土地收益比率",INDIRECT("'"&amp;D33&amp;"'"&amp;"!c:c")),SUMIF(INDIRECT("'"&amp;D33&amp;"'"&amp;"!b:b"),"土地成本比率",INDIRECT("'"&amp;D33&amp;"'"&amp;"!c:c"))))</f>
        <v>0.66700000000000004</v>
      </c>
      <c r="E34" s="2459" t="s">
        <v>2166</v>
      </c>
      <c r="F34" s="1736"/>
      <c r="G34" s="138"/>
      <c r="H34" s="138"/>
      <c r="I34" s="138"/>
    </row>
    <row r="35" spans="1:15" ht="15.75" thickBot="1">
      <c r="A35" s="2460"/>
      <c r="B35" s="2461" t="s">
        <v>2167</v>
      </c>
      <c r="C35" s="1441">
        <f ca="1">IF(C33="自定义",F35,ROUND(C32*D35,0))</f>
        <v>53</v>
      </c>
      <c r="D35" s="1442">
        <f ca="1">IF(C33="自定义",ROUND(C35/C32,3),IF(C33="收益比率",SUMIF(INDIRECT("'"&amp;D33&amp;"'"&amp;"!b:b"),"建筑物收益比率",INDIRECT("'"&amp;D33&amp;"'"&amp;"!c:c")),SUMIF(INDIRECT("'"&amp;D33&amp;"'"&amp;"!b:b"),"建筑物成本比率",INDIRECT("'"&amp;D33&amp;"'"&amp;"!c:c"))))</f>
        <v>0.33300000000000002</v>
      </c>
      <c r="E35" s="2462" t="s">
        <v>2168</v>
      </c>
      <c r="F35" s="163"/>
      <c r="G35" s="138"/>
      <c r="H35" s="138"/>
      <c r="I35" s="138"/>
    </row>
    <row r="36" spans="1:15" ht="15.75" thickBot="1">
      <c r="A36" s="3133" t="s">
        <v>2169</v>
      </c>
      <c r="B36" s="2463" t="s">
        <v>2170</v>
      </c>
      <c r="C36" s="154"/>
      <c r="D36" s="2464"/>
      <c r="E36" s="2465"/>
      <c r="F36" s="2466"/>
      <c r="G36" s="138"/>
      <c r="H36" s="138"/>
      <c r="I36" s="138"/>
    </row>
    <row r="37" spans="1:15" ht="15.75" thickBot="1">
      <c r="A37" s="3134"/>
      <c r="B37" s="2268" t="s">
        <v>2171</v>
      </c>
      <c r="C37" s="156"/>
      <c r="D37" s="1392"/>
      <c r="E37" s="1392"/>
      <c r="F37" s="2466"/>
      <c r="G37" s="138"/>
      <c r="H37" s="138"/>
      <c r="I37" s="138"/>
    </row>
    <row r="38" spans="1:15" ht="15.75" thickBot="1">
      <c r="A38" s="3135"/>
      <c r="B38" s="2467" t="s">
        <v>2172</v>
      </c>
      <c r="C38" s="727"/>
      <c r="D38" s="2468" t="s">
        <v>2173</v>
      </c>
      <c r="E38" s="1392"/>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50" t="s">
        <v>2183</v>
      </c>
      <c r="B45" s="3151"/>
      <c r="C45" s="3152"/>
      <c r="D45" s="164">
        <f ca="1">ROUND(H101*F45,0)</f>
        <v>160</v>
      </c>
      <c r="E45" s="165" t="s">
        <v>2184</v>
      </c>
      <c r="F45" s="166">
        <v>1</v>
      </c>
      <c r="G45" s="167" t="s">
        <v>2185</v>
      </c>
      <c r="H45" s="138"/>
      <c r="I45" s="138"/>
      <c r="J45" s="3069" t="s">
        <v>2186</v>
      </c>
      <c r="K45" s="3069"/>
      <c r="L45" s="3069"/>
      <c r="M45" s="3069"/>
      <c r="N45" s="3069"/>
      <c r="O45" s="3069"/>
    </row>
    <row r="46" spans="1:15" ht="14.25" customHeight="1">
      <c r="A46" s="3147" t="s">
        <v>2187</v>
      </c>
      <c r="B46" s="3148"/>
      <c r="C46" s="3148"/>
      <c r="D46" s="3148"/>
      <c r="E46" s="3148"/>
      <c r="F46" s="3148"/>
      <c r="G46" s="3149"/>
      <c r="H46" s="2482"/>
      <c r="I46" s="168"/>
      <c r="J46" s="1809">
        <v>1</v>
      </c>
      <c r="K46" s="3069" t="s">
        <v>2188</v>
      </c>
      <c r="L46" s="3069"/>
      <c r="M46" s="3070"/>
      <c r="N46" s="3070"/>
      <c r="O46" s="3070"/>
    </row>
    <row r="47" spans="1:15" ht="12" customHeight="1">
      <c r="A47" s="169" t="s">
        <v>2189</v>
      </c>
      <c r="B47" s="170"/>
      <c r="C47" s="171"/>
      <c r="D47" s="172" t="s">
        <v>2190</v>
      </c>
      <c r="E47" s="24" t="s">
        <v>2191</v>
      </c>
      <c r="F47" s="173" t="s">
        <v>2192</v>
      </c>
      <c r="G47" s="174" t="s">
        <v>2193</v>
      </c>
      <c r="H47" s="2482"/>
      <c r="I47" s="168"/>
      <c r="J47" s="1809">
        <v>2</v>
      </c>
      <c r="K47" s="3069" t="s">
        <v>2194</v>
      </c>
      <c r="L47" s="3069"/>
      <c r="M47" s="3071">
        <f>'数据-取费表'!B2</f>
        <v>43619</v>
      </c>
      <c r="N47" s="3071"/>
      <c r="O47" s="3071"/>
    </row>
    <row r="48" spans="1:15" ht="25.5">
      <c r="A48" s="3137" t="s">
        <v>2195</v>
      </c>
      <c r="B48" s="3138"/>
      <c r="C48" s="3138"/>
      <c r="D48" s="140">
        <f>IF(H48="情况1",0,IF(H48="情况2",D52,IF(H48="情况3",D53,IF(H48="情况4",D54))))</f>
        <v>0</v>
      </c>
      <c r="E48" s="1798" t="str">
        <f>IF(H48="情况4","(销售额-原购置价)×税（费）率","销售额×税（费）率")</f>
        <v>销售额×税（费）率</v>
      </c>
      <c r="F48" s="175" t="str">
        <f>IF(H48="情况1","免征",'数据-取费表'!B41)</f>
        <v>免征</v>
      </c>
      <c r="G48" s="2483" t="s">
        <v>2196</v>
      </c>
      <c r="H48" s="2484" t="s">
        <v>2197</v>
      </c>
      <c r="I48" s="2482"/>
      <c r="J48" s="1809">
        <v>3</v>
      </c>
      <c r="K48" s="3069" t="s">
        <v>2198</v>
      </c>
      <c r="L48" s="3069"/>
      <c r="M48" s="3072">
        <f ca="1">H101</f>
        <v>160</v>
      </c>
      <c r="N48" s="3072"/>
      <c r="O48" s="3072"/>
    </row>
    <row r="49" spans="1:35" ht="25.5" customHeight="1">
      <c r="A49" s="176" t="s">
        <v>2199</v>
      </c>
      <c r="B49" s="3117" t="s">
        <v>2200</v>
      </c>
      <c r="C49" s="3117"/>
      <c r="D49" s="177">
        <v>0</v>
      </c>
      <c r="E49" s="23" t="s">
        <v>2201</v>
      </c>
      <c r="F49" s="28" t="s">
        <v>34</v>
      </c>
      <c r="G49" s="3098"/>
      <c r="H49" s="138"/>
      <c r="I49" s="2485"/>
      <c r="J49" s="1809">
        <v>4</v>
      </c>
      <c r="K49" s="3069" t="str">
        <f>IF(项目基本情况!E8="房地产抵押价值","房地产抵押价值","抵押担保权已注销时的房地产抵押价值")</f>
        <v>房地产抵押价值</v>
      </c>
      <c r="L49" s="3069"/>
      <c r="M49" s="3072">
        <f ca="1">IF(项目基本情况!E8="房地产抵押价值",H107,H109)</f>
        <v>160</v>
      </c>
      <c r="N49" s="3072"/>
      <c r="O49" s="3072"/>
    </row>
    <row r="50" spans="1:35" ht="25.5" customHeight="1">
      <c r="A50" s="178"/>
      <c r="B50" s="3117" t="s">
        <v>2202</v>
      </c>
      <c r="C50" s="3117"/>
      <c r="D50" s="179"/>
      <c r="E50" s="31"/>
      <c r="F50" s="180"/>
      <c r="G50" s="3099"/>
      <c r="H50" s="138"/>
      <c r="I50" s="2485"/>
      <c r="J50" s="3069" t="s">
        <v>2203</v>
      </c>
      <c r="K50" s="3069"/>
      <c r="L50" s="3069"/>
      <c r="M50" s="3069"/>
      <c r="N50" s="3069"/>
      <c r="O50" s="3069"/>
    </row>
    <row r="51" spans="1:35" ht="12" customHeight="1">
      <c r="A51" s="181"/>
      <c r="B51" s="3117" t="s">
        <v>2204</v>
      </c>
      <c r="C51" s="3117"/>
      <c r="D51" s="182"/>
      <c r="E51" s="30"/>
      <c r="F51" s="180"/>
      <c r="G51" s="3100"/>
      <c r="H51" s="138"/>
      <c r="I51" s="2485"/>
      <c r="J51" s="2486" t="s">
        <v>2205</v>
      </c>
      <c r="K51" s="3069" t="s">
        <v>2206</v>
      </c>
      <c r="L51" s="3069"/>
      <c r="M51" s="2486" t="s">
        <v>2207</v>
      </c>
      <c r="N51" s="2486" t="s">
        <v>2208</v>
      </c>
      <c r="O51" s="2486" t="s">
        <v>2209</v>
      </c>
    </row>
    <row r="52" spans="1:35" ht="24" customHeight="1">
      <c r="A52" s="183" t="s">
        <v>2210</v>
      </c>
      <c r="B52" s="3117" t="s">
        <v>2211</v>
      </c>
      <c r="C52" s="3117"/>
      <c r="D52" s="182">
        <f ca="1">ROUND(D45*'数据-取费表'!B41/(1+'数据-取费表'!C42),0)</f>
        <v>9</v>
      </c>
      <c r="E52" s="11" t="s">
        <v>2212</v>
      </c>
      <c r="F52" s="184">
        <f>'数据-取费表'!B41</f>
        <v>5.6000000000000001E-2</v>
      </c>
      <c r="G52" s="2487"/>
      <c r="H52" s="138"/>
      <c r="I52" s="2485"/>
      <c r="J52" s="1809">
        <v>1</v>
      </c>
      <c r="K52" s="3092" t="s">
        <v>2213</v>
      </c>
      <c r="L52" s="3092"/>
      <c r="M52" s="1751">
        <f>D48</f>
        <v>0</v>
      </c>
      <c r="N52" s="1809" t="str">
        <f>E48</f>
        <v>销售额×税（费）率</v>
      </c>
      <c r="O52" s="1752" t="str">
        <f>F48</f>
        <v>免征</v>
      </c>
    </row>
    <row r="53" spans="1:35" ht="12" customHeight="1">
      <c r="A53" s="183" t="s">
        <v>2214</v>
      </c>
      <c r="B53" s="3118" t="s">
        <v>2215</v>
      </c>
      <c r="C53" s="3119"/>
      <c r="D53" s="182">
        <f ca="1">ROUND(D45*'数据-取费表'!B41/(1+'数据-取费表'!C42),0)</f>
        <v>9</v>
      </c>
      <c r="E53" s="11" t="s">
        <v>2212</v>
      </c>
      <c r="F53" s="184">
        <f>'数据-取费表'!B41</f>
        <v>5.6000000000000001E-2</v>
      </c>
      <c r="G53" s="2487"/>
      <c r="H53" s="138"/>
      <c r="I53" s="2485"/>
      <c r="J53" s="1809">
        <v>2</v>
      </c>
      <c r="K53" s="3092" t="s">
        <v>2216</v>
      </c>
      <c r="L53" s="3092"/>
      <c r="M53" s="1751">
        <f t="shared" ref="M53:O54" ca="1" si="0">D55</f>
        <v>0</v>
      </c>
      <c r="N53" s="1809" t="str">
        <f t="shared" si="0"/>
        <v>销售额×税（费）率</v>
      </c>
      <c r="O53" s="1752">
        <f t="shared" si="0"/>
        <v>5.0000000000000001E-4</v>
      </c>
    </row>
    <row r="54" spans="1:35" ht="12" customHeight="1">
      <c r="A54" s="183" t="s">
        <v>2217</v>
      </c>
      <c r="B54" s="3118" t="s">
        <v>2218</v>
      </c>
      <c r="C54" s="3119"/>
      <c r="D54" s="182">
        <f ca="1">C68</f>
        <v>9</v>
      </c>
      <c r="E54" s="30" t="s">
        <v>2219</v>
      </c>
      <c r="F54" s="184">
        <f>'数据-取费表'!B41</f>
        <v>5.6000000000000001E-2</v>
      </c>
      <c r="G54" s="2487"/>
      <c r="H54" s="2488"/>
      <c r="I54" s="2485"/>
      <c r="J54" s="1809">
        <v>3</v>
      </c>
      <c r="K54" s="3092" t="s">
        <v>2220</v>
      </c>
      <c r="L54" s="3092"/>
      <c r="M54" s="1751">
        <f t="shared" ca="1" si="0"/>
        <v>90</v>
      </c>
      <c r="N54" s="1809" t="str">
        <f t="shared" si="0"/>
        <v>增值额×税（费）率</v>
      </c>
      <c r="O54" s="1753" t="str">
        <f t="shared" si="0"/>
        <v>——</v>
      </c>
    </row>
    <row r="55" spans="1:35" ht="24" customHeight="1">
      <c r="A55" s="3156" t="s">
        <v>2221</v>
      </c>
      <c r="B55" s="3138"/>
      <c r="C55" s="3138"/>
      <c r="D55" s="185">
        <f ca="1">IF(H55="个人住宅",0,ROUND(D45*I55,0))</f>
        <v>0</v>
      </c>
      <c r="E55" s="11" t="s">
        <v>2222</v>
      </c>
      <c r="F55" s="184">
        <f>IF(H55="正常",I55,"免征")</f>
        <v>5.0000000000000001E-4</v>
      </c>
      <c r="G55" s="2487"/>
      <c r="H55" s="2484" t="s">
        <v>2223</v>
      </c>
      <c r="I55" s="186">
        <f>'数据-取费表'!B49</f>
        <v>5.0000000000000001E-4</v>
      </c>
      <c r="J55" s="1809" t="str">
        <f>IF(H59="非个人房产","",4)</f>
        <v/>
      </c>
      <c r="K55" s="3092" t="str">
        <f>IF(H59="非个人房产","——","个人所得税")</f>
        <v>——</v>
      </c>
      <c r="L55" s="3092"/>
      <c r="M55" s="1754" t="str">
        <f>D59</f>
        <v>——</v>
      </c>
      <c r="N55" s="1807" t="str">
        <f>E59</f>
        <v>——</v>
      </c>
      <c r="O55" s="1755" t="str">
        <f>F59</f>
        <v>——</v>
      </c>
    </row>
    <row r="56" spans="1:35" ht="24.75">
      <c r="A56" s="3156" t="s">
        <v>2224</v>
      </c>
      <c r="B56" s="3138"/>
      <c r="C56" s="3138"/>
      <c r="D56" s="185">
        <f ca="1">IF(H56="个人住宅",D57,D58)</f>
        <v>90</v>
      </c>
      <c r="E56" s="11" t="s">
        <v>2225</v>
      </c>
      <c r="F56" s="184" t="str">
        <f>IF(H56="正常",F58,"免征")</f>
        <v>——</v>
      </c>
      <c r="G56" s="2489" t="s">
        <v>2226</v>
      </c>
      <c r="H56" s="2490" t="s">
        <v>2223</v>
      </c>
      <c r="I56" s="2491"/>
      <c r="J56" s="1809" t="str">
        <f>IF(项目基本情况!K6="上海银行",IF(J55="",4,J55+1),"")</f>
        <v/>
      </c>
      <c r="K56" s="3075" t="str">
        <f>IF(项目基本情况!K6="上海银行","其他处置费用","")</f>
        <v/>
      </c>
      <c r="L56" s="3076"/>
      <c r="M56" s="1751" t="str">
        <f>IF(项目基本情况!K6="上海银行",M69,"")</f>
        <v/>
      </c>
      <c r="N56" s="3078" t="str">
        <f>IF(项目基本情况!K6="上海银行","包含处置中涉及的律师、诉讼、拍卖、评估等费用","")</f>
        <v/>
      </c>
      <c r="O56" s="3079"/>
    </row>
    <row r="57" spans="1:35" ht="12.75">
      <c r="A57" s="183" t="s">
        <v>2199</v>
      </c>
      <c r="B57" s="3123" t="s">
        <v>2227</v>
      </c>
      <c r="C57" s="3124"/>
      <c r="D57" s="187">
        <v>0</v>
      </c>
      <c r="E57" s="23" t="s">
        <v>2201</v>
      </c>
      <c r="F57" s="155"/>
      <c r="G57" s="2487"/>
      <c r="H57" s="2491"/>
      <c r="I57" s="2491"/>
      <c r="J57" s="3092">
        <f>IF(AND(J55="",J56=""),4,IF(项目基本情况!K6="上海银行",结果表!J56+1,结果表!J55+1))</f>
        <v>4</v>
      </c>
      <c r="K57" s="3092" t="s">
        <v>2228</v>
      </c>
      <c r="L57" s="2492" t="s">
        <v>2229</v>
      </c>
      <c r="M57" s="1756"/>
      <c r="N57" s="1757">
        <f ca="1">SUMIF(M52:M56,"&lt;9e307")</f>
        <v>90</v>
      </c>
      <c r="O57" s="2493"/>
      <c r="P57" s="1750">
        <f ca="1">N57/M49</f>
        <v>0.5625</v>
      </c>
    </row>
    <row r="58" spans="1:35" ht="24.75">
      <c r="A58" s="183" t="s">
        <v>2210</v>
      </c>
      <c r="B58" s="3123" t="s">
        <v>2230</v>
      </c>
      <c r="C58" s="3136"/>
      <c r="D58" s="185">
        <f ca="1">IF(H58="转让取得",C81,C97)</f>
        <v>90</v>
      </c>
      <c r="E58" s="11" t="s">
        <v>2225</v>
      </c>
      <c r="F58" s="24" t="s">
        <v>34</v>
      </c>
      <c r="G58" s="2487"/>
      <c r="H58" s="2490" t="s">
        <v>2231</v>
      </c>
      <c r="I58" s="2491"/>
      <c r="J58" s="3092"/>
      <c r="K58" s="3092"/>
      <c r="L58" s="2492" t="s">
        <v>2232</v>
      </c>
      <c r="M58" s="1758"/>
      <c r="N58" s="2494" t="str">
        <f ca="1">NUMBERSTRING(INT(N57*10000),2)&amp;"元整"</f>
        <v>玖拾万元整</v>
      </c>
      <c r="O58" s="2495"/>
    </row>
    <row r="59" spans="1:35" ht="24.75" thickBot="1">
      <c r="A59" s="3096" t="s">
        <v>2233</v>
      </c>
      <c r="B59" s="3097"/>
      <c r="C59" s="3097"/>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94">
        <f>J57+1</f>
        <v>5</v>
      </c>
      <c r="K59" s="3092" t="s">
        <v>2235</v>
      </c>
      <c r="L59" s="1809" t="s">
        <v>2229</v>
      </c>
      <c r="M59" s="1759"/>
      <c r="N59" s="1760">
        <f ca="1">M49-N57</f>
        <v>70</v>
      </c>
      <c r="O59" s="2497"/>
    </row>
    <row r="60" spans="1:35" ht="12" customHeight="1">
      <c r="A60" s="2498"/>
      <c r="B60" s="2420"/>
      <c r="C60" s="2420"/>
      <c r="D60" s="2420"/>
      <c r="E60" s="2167"/>
      <c r="F60" s="2491"/>
      <c r="G60" s="2491"/>
      <c r="H60" s="2499"/>
      <c r="I60" s="138"/>
      <c r="J60" s="3095"/>
      <c r="K60" s="3092"/>
      <c r="L60" s="2492" t="s">
        <v>2232</v>
      </c>
      <c r="M60" s="1758"/>
      <c r="N60" s="2494" t="str">
        <f ca="1">NUMBERSTRING(INT(N59*10000),2)&amp;"元整"</f>
        <v>柒拾万元整</v>
      </c>
      <c r="O60" s="2495"/>
    </row>
    <row r="61" spans="1:35" ht="13.5" thickBot="1">
      <c r="A61" s="3155" t="s">
        <v>2236</v>
      </c>
      <c r="B61" s="3155"/>
      <c r="C61" s="3155"/>
      <c r="D61" s="3155"/>
      <c r="E61" s="3155"/>
      <c r="F61" s="2491"/>
      <c r="G61" s="2491"/>
      <c r="H61" s="2499"/>
      <c r="I61" s="138"/>
      <c r="J61" s="1809">
        <f>J59+1</f>
        <v>6</v>
      </c>
      <c r="K61" s="3092" t="s">
        <v>2237</v>
      </c>
      <c r="L61" s="3092"/>
      <c r="M61" s="1761"/>
      <c r="N61" s="1762">
        <f ca="1">ROUND(N59*10000/'数据-汇总表'!E3,0)</f>
        <v>19</v>
      </c>
      <c r="O61" s="2500"/>
    </row>
    <row r="62" spans="1:35" ht="12.75">
      <c r="A62" s="3112" t="s">
        <v>2238</v>
      </c>
      <c r="B62" s="3113"/>
      <c r="C62" s="1801"/>
      <c r="D62" s="1801" t="s">
        <v>2239</v>
      </c>
      <c r="E62" s="192" t="s">
        <v>2240</v>
      </c>
      <c r="F62" s="2491"/>
      <c r="G62" s="2491"/>
      <c r="H62" s="2499"/>
      <c r="I62" s="138"/>
    </row>
    <row r="63" spans="1:35" ht="12.75">
      <c r="A63" s="203" t="s">
        <v>775</v>
      </c>
      <c r="B63" s="193" t="s">
        <v>2241</v>
      </c>
      <c r="C63" s="194">
        <f ca="1">ROUND((C64+C65)/(1+'数据-取费表'!C42),0)</f>
        <v>152</v>
      </c>
      <c r="D63" s="195"/>
      <c r="E63" s="196"/>
      <c r="F63" s="2491"/>
      <c r="G63" s="2491"/>
      <c r="H63" s="2499"/>
      <c r="I63" s="138"/>
      <c r="J63" s="3077" t="s">
        <v>2242</v>
      </c>
      <c r="K63" s="2501" t="s">
        <v>2243</v>
      </c>
      <c r="L63" s="1749">
        <f ca="1">IF(M49&gt;10000,M49*0.5%,IF(AND(M49&gt;1000,M49&lt;=10000),M49*1%,IF(AND(M49&gt;100,M49&lt;=1000),M49*3%,IF(AND(M49&gt;10,M49&lt;=100),M49*5%,M49*8%))))</f>
        <v>4.8</v>
      </c>
      <c r="M63" s="24">
        <f ca="1">ROUND(L63,1)</f>
        <v>4.8</v>
      </c>
      <c r="Z63" s="2425"/>
      <c r="AI63" s="2426"/>
    </row>
    <row r="64" spans="1:35" ht="14.25" customHeight="1">
      <c r="A64" s="197" t="s">
        <v>770</v>
      </c>
      <c r="B64" s="198" t="s">
        <v>2244</v>
      </c>
      <c r="C64" s="199">
        <f ca="1">D45</f>
        <v>160</v>
      </c>
      <c r="D64" s="200" t="s">
        <v>32</v>
      </c>
      <c r="E64" s="201"/>
      <c r="F64" s="2491"/>
      <c r="G64" s="2491"/>
      <c r="H64" s="2499"/>
      <c r="I64" s="138"/>
      <c r="J64" s="3077"/>
      <c r="K64" s="2501" t="s">
        <v>2245</v>
      </c>
      <c r="L64" s="1749">
        <f ca="1">IF(M49&gt;2000,M49*0.5%,IF(AND(M49&gt;1000,M49&lt;=2000),M49*0.6%,IF(AND(M49&gt;500,M49&lt;=1000),M49*0.7%,IF(AND(M49&gt;200,M49&lt;=500),M49*0.8%,IF(AND(M49&gt;100,M49&lt;=200),M49*0.9%,IF(AND(M49&gt;50,M49&lt;=100),M49*1%,IF(AND(M49&gt;20,M49&lt;=50),M49*1.5%,IF(AND(M49&gt;10,M49&lt;=20),M49*2%,IF(AND(M49&gt;1,M49&lt;=10),M49*2.5%)))))))))</f>
        <v>1.4400000000000002</v>
      </c>
      <c r="M64" s="24">
        <f t="shared" ref="M64:M65" ca="1" si="1">ROUND(L64,1)</f>
        <v>1.4</v>
      </c>
      <c r="N64" s="138" t="s">
        <v>2246</v>
      </c>
      <c r="Z64" s="2425"/>
      <c r="AI64" s="2426"/>
    </row>
    <row r="65" spans="1:35" ht="14.25" customHeight="1">
      <c r="A65" s="197" t="s">
        <v>771</v>
      </c>
      <c r="B65" s="198" t="s">
        <v>2247</v>
      </c>
      <c r="C65" s="202"/>
      <c r="D65" s="200"/>
      <c r="E65" s="201"/>
      <c r="F65" s="2491"/>
      <c r="G65" s="2491"/>
      <c r="H65" s="2499"/>
      <c r="I65" s="138"/>
      <c r="J65" s="3077"/>
      <c r="K65" s="2501" t="s">
        <v>2248</v>
      </c>
      <c r="L65" s="1749">
        <f ca="1">IF(M49&gt;1000,M49*0.1%,IF(AND(M49&gt;500,M49&lt;=1000),M49*0.5%,IF(AND(M49&gt;50,M49&lt;=500),M49*1%,IF(AND(M49&gt;1,M49&lt;=50),M49*1.5%))))</f>
        <v>1.6</v>
      </c>
      <c r="M65" s="24">
        <f t="shared" ca="1" si="1"/>
        <v>1.6</v>
      </c>
      <c r="N65" s="138" t="s">
        <v>2246</v>
      </c>
      <c r="Z65" s="2425"/>
      <c r="AI65" s="2426"/>
    </row>
    <row r="66" spans="1:35" ht="14.25" customHeight="1">
      <c r="A66" s="203" t="s">
        <v>772</v>
      </c>
      <c r="B66" s="204" t="s">
        <v>2249</v>
      </c>
      <c r="C66" s="205"/>
      <c r="D66" s="206" t="s">
        <v>32</v>
      </c>
      <c r="E66" s="1773" t="s">
        <v>1367</v>
      </c>
      <c r="F66" s="2491"/>
      <c r="G66" s="2491"/>
      <c r="H66" s="2499"/>
      <c r="I66" s="138"/>
      <c r="J66" s="3077"/>
      <c r="K66" s="2501" t="s">
        <v>2250</v>
      </c>
      <c r="L66" s="1749">
        <f ca="1">M49*0.5%</f>
        <v>0.8</v>
      </c>
      <c r="M66" s="24">
        <f ca="1">IF(L66&gt;0.5,0.5,ROUND(L66,0))</f>
        <v>0.5</v>
      </c>
      <c r="N66" s="138" t="s">
        <v>2251</v>
      </c>
      <c r="Z66" s="2425"/>
      <c r="AI66" s="2426"/>
    </row>
    <row r="67" spans="1:35" ht="14.25" customHeight="1">
      <c r="A67" s="203" t="s">
        <v>773</v>
      </c>
      <c r="B67" s="204" t="s">
        <v>2252</v>
      </c>
      <c r="C67" s="207">
        <f ca="1">C63-C66</f>
        <v>152</v>
      </c>
      <c r="D67" s="200" t="s">
        <v>32</v>
      </c>
      <c r="E67" s="201"/>
      <c r="F67" s="2491"/>
      <c r="G67" s="2491"/>
      <c r="H67" s="2499"/>
      <c r="I67" s="138"/>
      <c r="J67" s="3077"/>
      <c r="K67" s="2501" t="s">
        <v>2253</v>
      </c>
      <c r="L67" s="1749">
        <f ca="1">IF(M49&gt;=10000,(8.25+(M49-10000)*0.01%),IF(AND(M49&gt;=8000,M49&lt;10000),(7.85+(M49-8000)*0.02%),IF(AND(M49&gt;=5000,M49&lt;8000),(6.65+(M49-5000)*0.04%),IF(AND(M49&gt;=2000,M49&lt;5000),(4.25+(PM49-2000)*0.08%),IF(AND(M49&gt;=1000,M49&lt;2000),(2.75+(M49-1000)*0.15%),IF(AND(M49&gt;=100,M49&lt;1000),(0.5+(M49-100)*0.25%),IF(AND(M49&gt;0,M49&lt;100),M49*0.5%)))))))</f>
        <v>0.65</v>
      </c>
      <c r="M67" s="24">
        <f ca="1">ROUND(L67*0.9,1)</f>
        <v>0.6</v>
      </c>
      <c r="Z67" s="2425"/>
      <c r="AI67" s="2426"/>
    </row>
    <row r="68" spans="1:35" ht="14.25" customHeight="1" thickBot="1">
      <c r="A68" s="208" t="s">
        <v>774</v>
      </c>
      <c r="B68" s="209" t="s">
        <v>2254</v>
      </c>
      <c r="C68" s="210">
        <f ca="1">IF(C67&lt;=0,0,ROUND(C67*D68,0))</f>
        <v>9</v>
      </c>
      <c r="D68" s="211">
        <f>'数据-取费表'!B41</f>
        <v>5.6000000000000001E-2</v>
      </c>
      <c r="E68" s="212"/>
      <c r="F68" s="2491"/>
      <c r="G68" s="2491"/>
      <c r="H68" s="2499"/>
      <c r="I68" s="138"/>
      <c r="J68" s="3077"/>
      <c r="K68" s="2501" t="s">
        <v>2255</v>
      </c>
      <c r="L68" s="1749">
        <f ca="1">IF(M49&gt;10000,M49*0.5%,IF(AND(M49&gt;5000,M49&lt;=10000),M49*1%,IF(AND(M49&gt;1000,M49&lt;=5000),M49*2%,IF(AND(M49&gt;200,M49&lt;=1000),M49*3%,M49*5%))))</f>
        <v>8</v>
      </c>
      <c r="M68" s="24">
        <f ca="1">ROUND(L68,1)</f>
        <v>8</v>
      </c>
      <c r="Z68" s="2425"/>
      <c r="AI68" s="2426"/>
    </row>
    <row r="69" spans="1:35" s="2448" customFormat="1" ht="16.5" customHeight="1">
      <c r="A69" s="2502"/>
      <c r="B69" s="2503"/>
      <c r="C69" s="2504"/>
      <c r="D69" s="2505"/>
      <c r="E69" s="2506"/>
      <c r="F69" s="2167"/>
      <c r="G69" s="2167"/>
      <c r="H69" s="2166"/>
      <c r="I69" s="2420"/>
      <c r="J69" s="3077"/>
      <c r="K69" s="2501" t="s">
        <v>2256</v>
      </c>
      <c r="L69" s="2507"/>
      <c r="M69" s="24">
        <f ca="1">ROUND(SUM(M63:M68),0)</f>
        <v>17</v>
      </c>
      <c r="N69" s="1750">
        <f ca="1">M69/M49</f>
        <v>0.10625</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21" t="s">
        <v>2257</v>
      </c>
      <c r="B70" s="3122"/>
      <c r="C70" s="3122"/>
      <c r="D70" s="3122"/>
      <c r="E70" s="3122"/>
      <c r="F70" s="3122"/>
      <c r="G70" s="3122"/>
      <c r="H70" s="312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2" t="s">
        <v>2238</v>
      </c>
      <c r="B71" s="3113"/>
      <c r="C71" s="1801"/>
      <c r="D71" s="1801"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152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18" t="s">
        <v>2266</v>
      </c>
      <c r="F76" s="3117"/>
      <c r="G76" s="3117"/>
      <c r="H76" s="312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v>
      </c>
      <c r="D78" s="226">
        <f>'数据-取费表'!B43</f>
        <v>6.000000000000001E-3</v>
      </c>
      <c r="E78" s="3109" t="s">
        <v>2271</v>
      </c>
      <c r="F78" s="3110"/>
      <c r="G78" s="3110"/>
      <c r="H78" s="311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151</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1" t="s">
        <v>2275</v>
      </c>
      <c r="B83" s="3122"/>
      <c r="C83" s="3122"/>
      <c r="D83" s="3122"/>
      <c r="E83" s="3122"/>
      <c r="F83" s="3122"/>
      <c r="G83" s="3122"/>
      <c r="H83" s="312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2" t="s">
        <v>2238</v>
      </c>
      <c r="B84" s="3113"/>
      <c r="C84" s="1801"/>
      <c r="D84" s="1801"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152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1</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1797"/>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109" t="s">
        <v>2284</v>
      </c>
      <c r="F91" s="3110"/>
      <c r="G91" s="3110"/>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109" t="s">
        <v>2288</v>
      </c>
      <c r="F92" s="3110"/>
      <c r="G92" s="3110"/>
      <c r="H92" s="311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1</v>
      </c>
      <c r="D93" s="226">
        <f>'数据-取费表'!B43</f>
        <v>6.000000000000001E-3</v>
      </c>
      <c r="E93" s="3109" t="s">
        <v>2271</v>
      </c>
      <c r="F93" s="3110"/>
      <c r="G93" s="3110"/>
      <c r="H93" s="311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57" t="s">
        <v>2292</v>
      </c>
      <c r="F94" s="3158"/>
      <c r="G94" s="3158"/>
      <c r="H94" s="315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151</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61" t="s">
        <v>2294</v>
      </c>
      <c r="B100" s="3062"/>
      <c r="C100" s="3062"/>
      <c r="D100" s="3093"/>
      <c r="E100" s="3062" t="s">
        <v>2295</v>
      </c>
      <c r="F100" s="3062"/>
      <c r="G100" s="3062"/>
      <c r="H100" s="3093"/>
      <c r="I100" s="138"/>
    </row>
    <row r="101" spans="1:35" ht="18.75" customHeight="1">
      <c r="A101" s="3101" t="s">
        <v>2296</v>
      </c>
      <c r="B101" s="3102"/>
      <c r="C101" s="736" t="str">
        <f>C4</f>
        <v>比较法-商业</v>
      </c>
      <c r="D101" s="737" t="str">
        <f>D4</f>
        <v>收益法</v>
      </c>
      <c r="E101" s="3073" t="s">
        <v>2297</v>
      </c>
      <c r="F101" s="3074"/>
      <c r="G101" s="2522" t="s">
        <v>2298</v>
      </c>
      <c r="H101" s="1045">
        <f ca="1">H118</f>
        <v>160</v>
      </c>
      <c r="I101" s="138"/>
    </row>
    <row r="102" spans="1:35" ht="18.75" customHeight="1">
      <c r="A102" s="3103" t="s">
        <v>2299</v>
      </c>
      <c r="B102" s="2522" t="s">
        <v>2298</v>
      </c>
      <c r="C102" s="736">
        <f ca="1">C19</f>
        <v>182</v>
      </c>
      <c r="D102" s="737">
        <f ca="1">D19</f>
        <v>128</v>
      </c>
      <c r="E102" s="3073"/>
      <c r="F102" s="3074"/>
      <c r="G102" s="2522" t="s">
        <v>2300</v>
      </c>
      <c r="H102" s="371">
        <f ca="1">I118</f>
        <v>29202</v>
      </c>
      <c r="I102" s="138"/>
    </row>
    <row r="103" spans="1:35" ht="42.75" customHeight="1">
      <c r="A103" s="3103"/>
      <c r="B103" s="2522" t="s">
        <v>2300</v>
      </c>
      <c r="C103" s="738">
        <f ca="1">C20</f>
        <v>33291</v>
      </c>
      <c r="D103" s="739">
        <f ca="1">D20</f>
        <v>23362</v>
      </c>
      <c r="E103" s="3067" t="s">
        <v>2301</v>
      </c>
      <c r="F103" s="3068"/>
      <c r="G103" s="2523" t="s">
        <v>2302</v>
      </c>
      <c r="H103" s="1045">
        <f>IF(D36="正常操作",H104+H105+H106,H105+H106)</f>
        <v>0</v>
      </c>
      <c r="I103" s="138"/>
    </row>
    <row r="104" spans="1:35" ht="18.75" customHeight="1">
      <c r="A104" s="3103" t="s">
        <v>2303</v>
      </c>
      <c r="B104" s="2524" t="s">
        <v>2298</v>
      </c>
      <c r="C104" s="740">
        <f ca="1">H118</f>
        <v>160</v>
      </c>
      <c r="D104" s="741"/>
      <c r="E104" s="2268" t="s">
        <v>2304</v>
      </c>
      <c r="F104" s="2259"/>
      <c r="G104" s="2523" t="s">
        <v>2302</v>
      </c>
      <c r="H104" s="1046">
        <f>IF(D36="同一抵押权人同一抵押物续贷",C36&amp;"（未扣减，详见特别提示）",C36)</f>
        <v>0</v>
      </c>
      <c r="I104" s="138"/>
    </row>
    <row r="105" spans="1:35" ht="18.75" customHeight="1" thickBot="1">
      <c r="A105" s="3115"/>
      <c r="B105" s="2525" t="s">
        <v>2300</v>
      </c>
      <c r="C105" s="742">
        <f ca="1">I118</f>
        <v>29202</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104" t="str">
        <f>IF(项目基本情况!E8="已注销","——","3.房地产抵押价值")</f>
        <v>3.房地产抵押价值</v>
      </c>
      <c r="F107" s="3074"/>
      <c r="G107" s="2522" t="s">
        <v>2298</v>
      </c>
      <c r="H107" s="1045">
        <f ca="1">IF(E107="——","——",H101-H103)</f>
        <v>160</v>
      </c>
      <c r="I107" s="138"/>
    </row>
    <row r="108" spans="1:35" ht="18.75" customHeight="1">
      <c r="A108" s="138"/>
      <c r="B108" s="138"/>
      <c r="C108" s="138"/>
      <c r="D108" s="138"/>
      <c r="E108" s="3104"/>
      <c r="F108" s="3074"/>
      <c r="G108" s="2522" t="s">
        <v>2300</v>
      </c>
      <c r="H108" s="371">
        <f ca="1">ROUND(H107*10000/'数据-汇总表'!E3,0)</f>
        <v>44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22" t="s">
        <v>2298</v>
      </c>
      <c r="H109" s="348" t="str">
        <f>IF(E109="——","——",H101-H105-H106)</f>
        <v>——</v>
      </c>
      <c r="I109" s="138"/>
    </row>
    <row r="110" spans="1:35" ht="18.75" customHeight="1">
      <c r="A110" s="138"/>
      <c r="B110" s="138"/>
      <c r="C110" s="138"/>
      <c r="D110" s="138"/>
      <c r="E110" s="3104"/>
      <c r="F110" s="3074"/>
      <c r="G110" s="2522" t="s">
        <v>2300</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2" t="s">
        <v>2298</v>
      </c>
      <c r="H111" s="1045" t="str">
        <f>IF(E111="——","——",N59)</f>
        <v>——</v>
      </c>
      <c r="I111" s="138"/>
    </row>
    <row r="112" spans="1:35" ht="18.75" customHeight="1" thickBot="1">
      <c r="A112" s="138"/>
      <c r="B112" s="138"/>
      <c r="C112" s="138"/>
      <c r="D112" s="138"/>
      <c r="E112" s="3107"/>
      <c r="F112" s="3108"/>
      <c r="G112" s="2527"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20"/>
      <c r="B114" s="2420"/>
      <c r="C114" s="2420"/>
      <c r="D114" s="2420"/>
      <c r="E114" s="2498"/>
      <c r="F114" s="2498"/>
      <c r="G114" s="2498"/>
      <c r="H114" s="2498"/>
      <c r="I114" s="2420"/>
    </row>
    <row r="115" spans="1:11" ht="18.75" customHeight="1">
      <c r="A115" s="3129" t="s">
        <v>2308</v>
      </c>
      <c r="B115" s="3130"/>
      <c r="C115" s="3130"/>
      <c r="D115" s="3130"/>
      <c r="E115" s="3130"/>
      <c r="F115" s="3130"/>
      <c r="G115" s="3130"/>
      <c r="H115" s="3130"/>
      <c r="I115" s="3131"/>
    </row>
    <row r="116" spans="1:11" ht="27" customHeight="1">
      <c r="A116" s="3040" t="s">
        <v>2309</v>
      </c>
      <c r="B116" s="3083" t="s">
        <v>2310</v>
      </c>
      <c r="C116" s="3083" t="s">
        <v>2311</v>
      </c>
      <c r="D116" s="3089" t="s">
        <v>2312</v>
      </c>
      <c r="E116" s="3090"/>
      <c r="F116" s="3125" t="s">
        <v>2313</v>
      </c>
      <c r="G116" s="3125"/>
      <c r="H116" s="3040" t="s">
        <v>2314</v>
      </c>
      <c r="I116" s="3040"/>
    </row>
    <row r="117" spans="1:11" ht="18.75" customHeight="1">
      <c r="A117" s="3040"/>
      <c r="B117" s="3084"/>
      <c r="C117" s="3084"/>
      <c r="D117" s="1795" t="s">
        <v>2315</v>
      </c>
      <c r="E117" s="1795" t="s">
        <v>2316</v>
      </c>
      <c r="F117" s="1795" t="s">
        <v>2315</v>
      </c>
      <c r="G117" s="1795" t="s">
        <v>2317</v>
      </c>
      <c r="H117" s="1795" t="s">
        <v>2315</v>
      </c>
      <c r="I117" s="1795" t="s">
        <v>2317</v>
      </c>
    </row>
    <row r="118" spans="1:11" ht="24.75" customHeight="1">
      <c r="A118" s="2528" t="str">
        <f>项目基本情况!S2</f>
        <v>房地产</v>
      </c>
      <c r="B118" s="1795">
        <f>M18</f>
        <v>54.79</v>
      </c>
      <c r="C118" s="1795">
        <f>M19</f>
        <v>15.26</v>
      </c>
      <c r="D118" s="1795">
        <f ca="1">ROUND(IF(D32="总价",C34,E118*B118/10000),0)</f>
        <v>107</v>
      </c>
      <c r="E118" s="1795">
        <f ca="1">ROUND(IF(C33="自定义",IF(D32="楼面单价",C34,D118*10000/B118),I118-G118),0)</f>
        <v>19529</v>
      </c>
      <c r="F118" s="1795">
        <f ca="1">ROUND(IF(D32="总价",C35,G118*B118/10000),0)</f>
        <v>53</v>
      </c>
      <c r="G118" s="1795">
        <f ca="1">ROUND(IF(D32="楼面单价",C35,F118*10000/B118),0)</f>
        <v>9673</v>
      </c>
      <c r="H118" s="1795">
        <f ca="1">ROUND(IF(D32="总价",C32,I118*B118/10000),0)</f>
        <v>160</v>
      </c>
      <c r="I118" s="1795">
        <f ca="1">ROUND(IF(D32="楼面单价",C32,H118*10000/B118),0)</f>
        <v>29202</v>
      </c>
    </row>
    <row r="119" spans="1:11" ht="18.75" customHeight="1">
      <c r="A119" s="3040" t="s">
        <v>2318</v>
      </c>
      <c r="B119" s="3040"/>
      <c r="C119" s="3040"/>
      <c r="D119" s="3085" t="str">
        <f ca="1">NUMBERSTRING(INT(D118*10000),2)&amp;"元整"</f>
        <v>壹佰零柒万元整</v>
      </c>
      <c r="E119" s="3086"/>
      <c r="F119" s="3085" t="str">
        <f ca="1">NUMBERSTRING(INT(F118*10000),2)&amp;"元整"</f>
        <v>伍拾叁万元整</v>
      </c>
      <c r="G119" s="3086"/>
      <c r="H119" s="3085" t="str">
        <f ca="1">NUMBERSTRING(INT(H118*10000),2)&amp;"元整"</f>
        <v>壹佰陆拾万元整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5" t="str">
        <f>IF(D120=0,"故，本次评估不存在"&amp;A120,"故，本次评估"&amp;A120&amp;"为人民币"&amp;D120&amp;"万元整。")</f>
        <v>故，本次评估不存在估价师知悉的法定优先受偿款</v>
      </c>
    </row>
    <row r="121" spans="1:11" ht="18.75" customHeight="1">
      <c r="A121" s="3126" t="s">
        <v>2318</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160</v>
      </c>
      <c r="E122" s="3081"/>
      <c r="F122" s="3081"/>
      <c r="G122" s="3081"/>
      <c r="H122" s="3081"/>
      <c r="I122" s="3082"/>
    </row>
    <row r="123" spans="1:11" ht="18.75" customHeight="1">
      <c r="A123" s="3040" t="s">
        <v>2318</v>
      </c>
      <c r="B123" s="3040"/>
      <c r="C123" s="3040"/>
      <c r="D123" s="3085" t="str">
        <f ca="1">NUMBERSTRING(INT(D122*10000),2)&amp;"元整"</f>
        <v>壹佰陆拾万元整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2318</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2318</v>
      </c>
      <c r="B127" s="3040"/>
      <c r="C127" s="3040"/>
      <c r="D127" s="3085" t="e">
        <f>NUMBERSTRING(INT(D126*10000),2)&amp;"元整"</f>
        <v>#VALUE!</v>
      </c>
      <c r="E127" s="3087"/>
      <c r="F127" s="3087"/>
      <c r="G127" s="3087"/>
      <c r="H127" s="3087"/>
      <c r="I127" s="3086"/>
    </row>
    <row r="128" spans="1:11" ht="21.75" customHeight="1">
      <c r="A128" s="3088" t="s">
        <v>2319</v>
      </c>
      <c r="B128" s="3088"/>
      <c r="C128" s="3088"/>
      <c r="D128" s="3088"/>
      <c r="E128" s="3088"/>
      <c r="F128" s="3088"/>
      <c r="G128" s="3088"/>
      <c r="H128" s="3088"/>
      <c r="I128" s="308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79">
        <f>MATCH(B1,'数据-取费表'!A6:A16,0)+5</f>
        <v>8</v>
      </c>
    </row>
    <row r="2" spans="1:9" s="244" customFormat="1" ht="18" customHeight="1">
      <c r="A2" s="245" t="s">
        <v>2328</v>
      </c>
      <c r="B2" s="246">
        <f ca="1">IF(D2="——",C52,C52-E2)</f>
        <v>2065</v>
      </c>
      <c r="C2" s="243" t="s">
        <v>2329</v>
      </c>
      <c r="D2" s="2551" t="s">
        <v>70</v>
      </c>
      <c r="E2" s="1440"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565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4"/>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5"/>
      <c r="H9" s="1390"/>
      <c r="I9" s="2556" t="s">
        <v>2345</v>
      </c>
    </row>
    <row r="10" spans="1:9" s="258" customFormat="1" ht="13.5" customHeight="1">
      <c r="A10" s="950" t="s">
        <v>801</v>
      </c>
      <c r="B10" s="268" t="s">
        <v>2346</v>
      </c>
      <c r="C10" s="269">
        <f ca="1">ROUND(D10*E10/10000,0)</f>
        <v>511</v>
      </c>
      <c r="D10" s="1032">
        <f ca="1">IF(B1="",'数据-汇总表'!E6,IF(INDIRECT("'数据-取费表'!c"&amp;$G$1)="住宅",INDIRECT("'数据-取费表'!s"&amp;$G$1),INDIRECT("'数据-取费表'!k"&amp;$G$1)+INDIRECT("'数据-取费表'!s"&amp;$G$1)))</f>
        <v>36535.62999999999</v>
      </c>
      <c r="E10" s="269">
        <f>'数据-取费表'!B28</f>
        <v>140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731</v>
      </c>
      <c r="D19" s="1036">
        <f ca="1">D9+D10</f>
        <v>36535.62999999999</v>
      </c>
      <c r="E19" s="255">
        <f>'数据-取费表'!B31</f>
        <v>200</v>
      </c>
      <c r="F19" s="275"/>
      <c r="G19" s="2554"/>
    </row>
    <row r="20" spans="1:7" s="258" customFormat="1" ht="13.5" customHeight="1">
      <c r="A20" s="299" t="s">
        <v>2359</v>
      </c>
      <c r="B20" s="254" t="s">
        <v>2360</v>
      </c>
      <c r="C20" s="276">
        <f ca="1">ROUND((C5+C19)*F20,0)</f>
        <v>15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91</v>
      </c>
      <c r="D22" s="279">
        <f ca="1">C26</f>
        <v>1.1999999999999999E-3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90</v>
      </c>
      <c r="D24" s="282"/>
      <c r="E24" s="282"/>
      <c r="F24" s="283"/>
      <c r="G24" s="284" t="s">
        <v>2373</v>
      </c>
    </row>
    <row r="25" spans="1:7" s="258" customFormat="1" ht="24">
      <c r="A25" s="951" t="s">
        <v>2374</v>
      </c>
      <c r="B25" s="259" t="s">
        <v>2375</v>
      </c>
      <c r="C25" s="1355">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1.1999999999999999E-3</v>
      </c>
      <c r="D26" s="282"/>
      <c r="E26" s="285"/>
      <c r="F26" s="283"/>
      <c r="G26" s="287"/>
    </row>
    <row r="27" spans="1:7" s="258" customFormat="1" ht="24.75">
      <c r="A27" s="299" t="s">
        <v>2378</v>
      </c>
      <c r="B27" s="288" t="s">
        <v>2379</v>
      </c>
      <c r="C27" s="289">
        <f ca="1">C28</f>
        <v>149</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149</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1070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751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19</v>
      </c>
      <c r="D34" s="261"/>
      <c r="E34" s="264"/>
      <c r="F34" s="301">
        <f ca="1">IF('数据-取费表'!B24=0,1,IF(B1="",'数据-取费表'!N16,INDIRECT("'数据-取费表'!n"&amp;$G$1)))</f>
        <v>1</v>
      </c>
      <c r="G34" s="263" t="s">
        <v>2392</v>
      </c>
    </row>
    <row r="35" spans="1:7" ht="13.5" customHeight="1">
      <c r="A35" s="951" t="s">
        <v>796</v>
      </c>
      <c r="B35" s="259" t="s">
        <v>2393</v>
      </c>
      <c r="C35" s="264">
        <f ca="1">ROUND(C34*F35,0)</f>
        <v>1</v>
      </c>
      <c r="D35" s="264"/>
      <c r="E35" s="264"/>
      <c r="F35" s="303">
        <f>'数据-取费表'!B33</f>
        <v>0.04</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731</v>
      </c>
      <c r="D37" s="261">
        <f ca="1">D19</f>
        <v>36535.62999999999</v>
      </c>
      <c r="E37" s="293">
        <f>'数据-取费表'!B35</f>
        <v>200</v>
      </c>
      <c r="F37" s="303"/>
      <c r="G37" s="305" t="s">
        <v>2398</v>
      </c>
    </row>
    <row r="38" spans="1:7" ht="13.5" customHeight="1">
      <c r="A38" s="951"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15</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46</v>
      </c>
      <c r="D41" s="279">
        <f ca="1">C44</f>
        <v>1.1999999999999999E-3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45</v>
      </c>
      <c r="D42" s="282"/>
      <c r="E42" s="282"/>
      <c r="F42" s="283"/>
      <c r="G42" s="3160" t="s">
        <v>2410</v>
      </c>
    </row>
    <row r="43" spans="1:7" ht="13.5" customHeight="1">
      <c r="A43" s="951" t="s">
        <v>792</v>
      </c>
      <c r="B43" s="259" t="s">
        <v>2411</v>
      </c>
      <c r="C43" s="282">
        <f ca="1">ROUND(IF('数据-取费表'!B22&lt;=1,C39*F22*'数据-取费表'!B21/2,C39*(POWER((1+F22),'数据-取费表'!B21/2)-1)),0)</f>
        <v>1</v>
      </c>
      <c r="D43" s="282"/>
      <c r="E43" s="282"/>
      <c r="F43" s="283"/>
      <c r="G43" s="3161"/>
    </row>
    <row r="44" spans="1:7" ht="13.5" customHeight="1">
      <c r="A44" s="951" t="s">
        <v>793</v>
      </c>
      <c r="B44" s="259" t="s">
        <v>2412</v>
      </c>
      <c r="C44" s="282">
        <f ca="1">ROUND(IF('数据-取费表'!B22&lt;=1,C40*F22*'数据-取费表'!B21/2,C40*(POWER((1+F22),'数据-取费表'!B21/2)-1)),4)</f>
        <v>1.1999999999999999E-3</v>
      </c>
      <c r="D44" s="282"/>
      <c r="E44" s="282"/>
      <c r="F44" s="283"/>
      <c r="G44" s="3162"/>
    </row>
    <row r="45" spans="1:7" s="258" customFormat="1" ht="13.5" customHeight="1">
      <c r="A45" s="299" t="s">
        <v>2413</v>
      </c>
      <c r="B45" s="288" t="s">
        <v>2379</v>
      </c>
      <c r="C45" s="289">
        <f ca="1">C46</f>
        <v>153</v>
      </c>
      <c r="D45" s="279">
        <f ca="1">C47</f>
        <v>4.0000000000000001E-3</v>
      </c>
      <c r="E45" s="280" t="s">
        <v>2405</v>
      </c>
      <c r="F45" s="290"/>
      <c r="G45" s="291" t="s">
        <v>2414</v>
      </c>
    </row>
    <row r="46" spans="1:7" s="258" customFormat="1" ht="13.5" customHeight="1">
      <c r="A46" s="951" t="s">
        <v>791</v>
      </c>
      <c r="B46" s="292" t="s">
        <v>2415</v>
      </c>
      <c r="C46" s="293">
        <f ca="1">ROUND((C33+C39)*F27,0)</f>
        <v>153</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1047</v>
      </c>
      <c r="D49" s="276"/>
      <c r="E49" s="276"/>
      <c r="F49" s="308"/>
      <c r="G49" s="278" t="s">
        <v>2420</v>
      </c>
    </row>
    <row r="50" spans="1:7" s="302" customFormat="1" ht="24">
      <c r="A50" s="299" t="s">
        <v>2421</v>
      </c>
      <c r="B50" s="254" t="s">
        <v>2422</v>
      </c>
      <c r="C50" s="276"/>
      <c r="D50" s="276"/>
      <c r="E50" s="276"/>
      <c r="F50" s="308">
        <f>IF('数据-取费表'!B24=0,'数据-取费表'!N16,1)</f>
        <v>0.95</v>
      </c>
      <c r="G50" s="291" t="s">
        <v>2423</v>
      </c>
    </row>
    <row r="51" spans="1:7" ht="16.5" customHeight="1">
      <c r="A51" s="299" t="s">
        <v>2424</v>
      </c>
      <c r="B51" s="254" t="s">
        <v>2425</v>
      </c>
      <c r="C51" s="276">
        <f ca="1">ROUND(C49*F50,0)</f>
        <v>995</v>
      </c>
      <c r="D51" s="276"/>
      <c r="E51" s="276"/>
      <c r="F51" s="308"/>
      <c r="G51" s="278" t="s">
        <v>2426</v>
      </c>
    </row>
    <row r="52" spans="1:7" s="252" customFormat="1" ht="16.5" thickBot="1">
      <c r="A52" s="309" t="s">
        <v>2427</v>
      </c>
      <c r="B52" s="310"/>
      <c r="C52" s="311">
        <f ca="1">C31+C51</f>
        <v>2065</v>
      </c>
      <c r="D52" s="310"/>
      <c r="E52" s="310"/>
      <c r="F52" s="310"/>
      <c r="G52" s="312"/>
    </row>
    <row r="55" spans="1:7" ht="15">
      <c r="B55" s="314" t="s">
        <v>2428</v>
      </c>
      <c r="C55" s="315"/>
    </row>
    <row r="56" spans="1:7">
      <c r="B56" s="317" t="s">
        <v>1509</v>
      </c>
      <c r="C56" s="319">
        <f ca="1">1-C57</f>
        <v>0.51800000000000002</v>
      </c>
    </row>
    <row r="57" spans="1:7">
      <c r="B57" s="317" t="s">
        <v>1510</v>
      </c>
      <c r="C57" s="318">
        <f ca="1">ROUND(C51/C52,3)</f>
        <v>0.48199999999999998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7"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2812</v>
      </c>
      <c r="C2" s="243" t="s">
        <v>2329</v>
      </c>
      <c r="D2" s="2551" t="s">
        <v>70</v>
      </c>
      <c r="E2" s="1440"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770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5114988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5114988</v>
      </c>
      <c r="D8" s="266"/>
      <c r="E8" s="264"/>
      <c r="F8" s="265"/>
      <c r="G8" s="2554"/>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5114988</v>
      </c>
      <c r="D10" s="1032">
        <f ca="1">IF(B1="",'数据-汇总表'!E6,IF(INDIRECT("'数据-取费表'!c"&amp;$G$1)="住宅",INDIRECT("'数据-取费表'!s"&amp;$G$1),INDIRECT("'数据-取费表'!k"&amp;$G$1)+INDIRECT("'数据-取费表'!s"&amp;$G$1)))</f>
        <v>36535.62999999999</v>
      </c>
      <c r="E10" s="269">
        <f>'数据-取费表'!B28</f>
        <v>140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7307126</v>
      </c>
      <c r="D19" s="1036">
        <f ca="1">D9+D10</f>
        <v>36535.62999999999</v>
      </c>
      <c r="E19" s="255">
        <f>'数据-取费表'!B31</f>
        <v>200</v>
      </c>
      <c r="F19" s="275"/>
      <c r="G19" s="2554"/>
    </row>
    <row r="20" spans="1:7" s="258" customFormat="1" ht="13.5" customHeight="1">
      <c r="A20" s="299" t="s">
        <v>2440</v>
      </c>
      <c r="B20" s="254" t="s">
        <v>2441</v>
      </c>
      <c r="C20" s="276">
        <f ca="1">ROUND((C5+C19)*F20,0)</f>
        <v>248442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1542929</v>
      </c>
      <c r="D22" s="279">
        <f ca="1">C26</f>
        <v>1.1999999999999999E-3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629214</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898877</v>
      </c>
      <c r="D24" s="282"/>
      <c r="E24" s="282"/>
      <c r="F24" s="283"/>
      <c r="G24" s="284" t="s">
        <v>2452</v>
      </c>
    </row>
    <row r="25" spans="1:7" s="258" customFormat="1" ht="24">
      <c r="A25" s="951" t="s">
        <v>2342</v>
      </c>
      <c r="B25" s="259" t="s">
        <v>2453</v>
      </c>
      <c r="C25" s="1381">
        <f ca="1">ROUND(IF('数据-取费表'!B22&lt;=1,C20*F22*'数据-取费表'!B22/2,C20*(POWER((1+F22),'数据-取费表'!B22/2)-1)),0)</f>
        <v>14838</v>
      </c>
      <c r="D25" s="282"/>
      <c r="E25" s="285"/>
      <c r="F25" s="283"/>
      <c r="G25" s="286" t="s">
        <v>2454</v>
      </c>
    </row>
    <row r="26" spans="1:7" s="258" customFormat="1">
      <c r="A26" s="951" t="s">
        <v>795</v>
      </c>
      <c r="B26" s="259" t="s">
        <v>2377</v>
      </c>
      <c r="C26" s="282">
        <f ca="1">ROUND(IF('数据-取费表'!B22&lt;=1,F21*F22*'数据-取费表'!B22/2,F21*(POWER((1+F22),'数据-取费表'!B22/2)-1)),4)</f>
        <v>1.1999999999999999E-3</v>
      </c>
      <c r="D26" s="282"/>
      <c r="E26" s="285"/>
      <c r="F26" s="283"/>
      <c r="G26" s="287"/>
    </row>
    <row r="27" spans="1:7" s="258" customFormat="1" ht="24.75">
      <c r="A27" s="299" t="s">
        <v>2378</v>
      </c>
      <c r="B27" s="288" t="s">
        <v>2379</v>
      </c>
      <c r="C27" s="289">
        <f ca="1">C28</f>
        <v>2534111</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2534111</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18174277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7509438</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191765</v>
      </c>
      <c r="D34" s="261"/>
      <c r="E34" s="264"/>
      <c r="F34" s="301"/>
      <c r="G34" s="263"/>
    </row>
    <row r="35" spans="1:7" ht="13.5" customHeight="1">
      <c r="A35" s="951" t="s">
        <v>796</v>
      </c>
      <c r="B35" s="259" t="s">
        <v>2393</v>
      </c>
      <c r="C35" s="264">
        <f ca="1">ROUND(C34*F35,0)</f>
        <v>7671</v>
      </c>
      <c r="D35" s="264"/>
      <c r="E35" s="264"/>
      <c r="F35" s="303">
        <f>'数据-取费表'!B33</f>
        <v>0.04</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7307126</v>
      </c>
      <c r="D37" s="261">
        <f ca="1">D19</f>
        <v>36535.62999999999</v>
      </c>
      <c r="E37" s="293">
        <f>'数据-取费表'!B35</f>
        <v>200</v>
      </c>
      <c r="F37" s="303"/>
      <c r="G37" s="305"/>
    </row>
    <row r="38" spans="1:7" ht="13.5" customHeight="1">
      <c r="A38" s="951" t="s">
        <v>799</v>
      </c>
      <c r="B38" s="259" t="s">
        <v>2399</v>
      </c>
      <c r="C38" s="264">
        <f ca="1">ROUND(C34*F38,0)</f>
        <v>2876</v>
      </c>
      <c r="D38" s="264"/>
      <c r="E38" s="264"/>
      <c r="F38" s="303">
        <f>'数据-取费表'!B36</f>
        <v>1.4999999999999999E-2</v>
      </c>
      <c r="G38" s="263" t="s">
        <v>2394</v>
      </c>
    </row>
    <row r="39" spans="1:7" s="258" customFormat="1" ht="13.5" customHeight="1">
      <c r="A39" s="299" t="s">
        <v>2400</v>
      </c>
      <c r="B39" s="254" t="s">
        <v>2401</v>
      </c>
      <c r="C39" s="276">
        <f ca="1">ROUND(C33*F20,0)</f>
        <v>150189</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457459</v>
      </c>
      <c r="D41" s="279">
        <f ca="1">C44</f>
        <v>1.1999999999999999E-3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448489</v>
      </c>
      <c r="D42" s="282"/>
      <c r="E42" s="282"/>
      <c r="F42" s="283"/>
      <c r="G42" s="3160" t="s">
        <v>2457</v>
      </c>
    </row>
    <row r="43" spans="1:7" ht="13.5" customHeight="1">
      <c r="A43" s="951" t="s">
        <v>792</v>
      </c>
      <c r="B43" s="259" t="s">
        <v>2411</v>
      </c>
      <c r="C43" s="282">
        <f ca="1">ROUND(IF('数据-取费表'!B22&lt;=1,C39*F22*'数据-取费表'!B20/2,C39*(POWER((1+F22),'数据-取费表'!B20/2)-1)),0)</f>
        <v>8970</v>
      </c>
      <c r="D43" s="282"/>
      <c r="E43" s="282"/>
      <c r="F43" s="283"/>
      <c r="G43" s="3161"/>
    </row>
    <row r="44" spans="1:7" ht="13.5" customHeight="1">
      <c r="A44" s="951" t="s">
        <v>793</v>
      </c>
      <c r="B44" s="259" t="s">
        <v>2412</v>
      </c>
      <c r="C44" s="282">
        <f ca="1">ROUND(IF('数据-取费表'!B22&lt;=1,C40*F22*'数据-取费表'!B20/2,C40*(POWER((1+F22),'数据-取费表'!B20/2)-1)),4)</f>
        <v>1.1999999999999999E-3</v>
      </c>
      <c r="D44" s="282"/>
      <c r="E44" s="282"/>
      <c r="F44" s="283"/>
      <c r="G44" s="3162"/>
    </row>
    <row r="45" spans="1:7" s="258" customFormat="1" ht="13.5" customHeight="1">
      <c r="A45" s="299" t="s">
        <v>2413</v>
      </c>
      <c r="B45" s="288" t="s">
        <v>2379</v>
      </c>
      <c r="C45" s="289">
        <f ca="1">C46</f>
        <v>1531925</v>
      </c>
      <c r="D45" s="279">
        <f ca="1">C47</f>
        <v>4.0000000000000001E-3</v>
      </c>
      <c r="E45" s="280" t="s">
        <v>2405</v>
      </c>
      <c r="F45" s="290"/>
      <c r="G45" s="291" t="s">
        <v>2414</v>
      </c>
    </row>
    <row r="46" spans="1:7" s="258" customFormat="1" ht="13.5" customHeight="1">
      <c r="A46" s="951" t="s">
        <v>791</v>
      </c>
      <c r="B46" s="292" t="s">
        <v>2415</v>
      </c>
      <c r="C46" s="293">
        <f ca="1">ROUND((C33+C39)*F27,0)</f>
        <v>1531925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10470983</v>
      </c>
      <c r="D49" s="276"/>
      <c r="E49" s="276"/>
      <c r="F49" s="308"/>
      <c r="G49" s="278" t="s">
        <v>2420</v>
      </c>
    </row>
    <row r="50" spans="1:7" s="302" customFormat="1">
      <c r="A50" s="299" t="s">
        <v>2421</v>
      </c>
      <c r="B50" s="254" t="s">
        <v>2422</v>
      </c>
      <c r="C50" s="276"/>
      <c r="D50" s="276"/>
      <c r="E50" s="276"/>
      <c r="F50" s="308">
        <f>IF('数据-取费表'!B24=0,'数据-取费表'!N16,1)</f>
        <v>0.95</v>
      </c>
      <c r="G50" s="291"/>
    </row>
    <row r="51" spans="1:7" ht="16.5" customHeight="1">
      <c r="A51" s="299" t="s">
        <v>2424</v>
      </c>
      <c r="B51" s="254" t="s">
        <v>2459</v>
      </c>
      <c r="C51" s="276">
        <f ca="1">ROUND(C49*F50,0)</f>
        <v>9947434</v>
      </c>
      <c r="D51" s="276"/>
      <c r="E51" s="276"/>
      <c r="F51" s="308"/>
      <c r="G51" s="278" t="s">
        <v>2426</v>
      </c>
    </row>
    <row r="52" spans="1:7" s="252" customFormat="1" ht="16.5" thickBot="1">
      <c r="A52" s="309" t="s">
        <v>2427</v>
      </c>
      <c r="B52" s="310"/>
      <c r="C52" s="311">
        <f ca="1">C31+C51</f>
        <v>28121711</v>
      </c>
      <c r="D52" s="310"/>
      <c r="E52" s="310"/>
      <c r="F52" s="310"/>
      <c r="G52" s="312"/>
    </row>
    <row r="55" spans="1:7" ht="15">
      <c r="B55" s="314" t="s">
        <v>2428</v>
      </c>
      <c r="C55" s="315"/>
    </row>
    <row r="56" spans="1:7">
      <c r="B56" s="317" t="s">
        <v>1509</v>
      </c>
      <c r="C56" s="319">
        <f ca="1">1-C57</f>
        <v>0.64600000000000002</v>
      </c>
    </row>
    <row r="57" spans="1:7">
      <c r="B57" s="317" t="s">
        <v>1510</v>
      </c>
      <c r="C57" s="318">
        <f ca="1">ROUND(C51/C52,3)</f>
        <v>0.35399999999999998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-607</v>
      </c>
      <c r="C2" s="320" t="s">
        <v>2461</v>
      </c>
      <c r="D2" s="320"/>
      <c r="E2" s="320"/>
      <c r="F2" s="320"/>
      <c r="G2" s="320"/>
      <c r="H2" s="320"/>
      <c r="I2" s="320"/>
      <c r="J2" s="320"/>
      <c r="K2" s="320"/>
    </row>
    <row r="3" spans="1:33" ht="18" customHeight="1" thickBot="1">
      <c r="A3" s="247" t="s">
        <v>2330</v>
      </c>
      <c r="B3" s="248">
        <f ca="1">ROUND(B2*10000/IF(C1="",'数据-汇总表'!E3,INDIRECT("'数据-取费表'!K"&amp;$K$1)),0)</f>
        <v>-166</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8" t="s">
        <v>2466</v>
      </c>
      <c r="D5" s="2558" t="s">
        <v>2467</v>
      </c>
      <c r="E5" s="2558" t="s">
        <v>2468</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0.04</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36535.62999999999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36535.62999999999</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511</v>
      </c>
      <c r="D18" s="1033"/>
      <c r="E18" s="24"/>
      <c r="F18" s="976"/>
      <c r="G18" s="2560"/>
      <c r="H18" s="1577"/>
      <c r="I18" s="2561"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511</v>
      </c>
      <c r="D20" s="1033">
        <f ca="1">IF(C1="",'数据-汇总表'!E6,IF(INDIRECT("'数据-取费表'!c"&amp;$K$1)="住宅",INDIRECT("'数据-取费表'!s"&amp;$K$1),INDIRECT("'数据-取费表'!k"&amp;$K$1)+INDIRECT("'数据-取费表'!s"&amp;$K$1)))</f>
        <v>36535.62999999999</v>
      </c>
      <c r="E20" s="24">
        <f>'数据-取费表'!B28</f>
        <v>140</v>
      </c>
      <c r="F20" s="976"/>
      <c r="G20" s="15"/>
      <c r="H20" s="981"/>
      <c r="I20" s="981"/>
      <c r="J20" s="981"/>
      <c r="K20" s="982"/>
    </row>
    <row r="21" spans="1:33" s="975" customFormat="1" ht="13.5" customHeight="1">
      <c r="A21" s="961" t="s">
        <v>802</v>
      </c>
      <c r="B21" s="985" t="s">
        <v>2497</v>
      </c>
      <c r="C21" s="986">
        <f ca="1">C16+C17+C18</f>
        <v>511</v>
      </c>
      <c r="D21" s="987"/>
      <c r="E21" s="325"/>
      <c r="F21" s="325"/>
      <c r="G21" s="140" t="s">
        <v>2498</v>
      </c>
      <c r="H21" s="979"/>
      <c r="I21" s="979"/>
      <c r="J21" s="979"/>
      <c r="K21" s="980"/>
    </row>
    <row r="22" spans="1:33" s="975" customFormat="1" ht="13.5" customHeight="1">
      <c r="A22" s="961" t="s">
        <v>2470</v>
      </c>
      <c r="B22" s="985" t="s">
        <v>2499</v>
      </c>
      <c r="C22" s="986">
        <f ca="1">ROUND(C21*F22,0)</f>
        <v>10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2510</v>
      </c>
      <c r="B28" s="2563" t="s">
        <v>2511</v>
      </c>
      <c r="C28" s="331">
        <f ca="1">C30</f>
        <v>104</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104</v>
      </c>
      <c r="D30" s="328"/>
      <c r="E30" s="329"/>
      <c r="F30" s="334"/>
      <c r="G30" s="140"/>
      <c r="H30" s="979"/>
      <c r="I30" s="979"/>
      <c r="J30" s="979"/>
      <c r="K30" s="980"/>
    </row>
    <row r="31" spans="1:33" s="975" customFormat="1" ht="13.5" customHeight="1" thickBot="1">
      <c r="A31" s="2564"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-607</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v>1064</v>
      </c>
      <c r="D1" s="1820" t="s">
        <v>70</v>
      </c>
      <c r="E1" s="1821" t="s">
        <v>1383</v>
      </c>
      <c r="F1" s="1283">
        <f ca="1">J53</f>
        <v>34.96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128</v>
      </c>
      <c r="C2" s="1845" t="s">
        <v>1512</v>
      </c>
      <c r="D2" s="1845"/>
      <c r="E2" s="1846"/>
      <c r="F2" s="1847"/>
      <c r="G2" s="1848"/>
      <c r="H2" s="1840"/>
      <c r="I2" s="1840"/>
      <c r="J2" s="1840"/>
      <c r="K2" s="1841"/>
      <c r="L2" s="1840"/>
      <c r="M2" s="1840"/>
    </row>
    <row r="3" spans="1:37" ht="18" customHeight="1" thickBot="1">
      <c r="A3" s="1849" t="s">
        <v>1513</v>
      </c>
      <c r="B3" s="1850">
        <f ca="1">IF(ISERROR(B2*10000/F43),0,ROUND(B2*10000/F43,0))</f>
        <v>23362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v>
      </c>
      <c r="D5" s="1822" t="s">
        <v>1398</v>
      </c>
      <c r="E5" s="1293"/>
      <c r="F5" s="1294"/>
      <c r="G5" s="1851"/>
      <c r="H5" s="344">
        <v>1</v>
      </c>
      <c r="I5" s="345" t="s">
        <v>1397</v>
      </c>
      <c r="J5" s="1292">
        <f ca="1">J6+J10+J12</f>
        <v>0</v>
      </c>
      <c r="K5" s="1822" t="s">
        <v>1398</v>
      </c>
      <c r="L5" s="1293"/>
      <c r="M5" s="1294"/>
    </row>
    <row r="6" spans="1:37" ht="18" customHeight="1">
      <c r="A6" s="1291" t="s">
        <v>1032</v>
      </c>
      <c r="B6" s="3165" t="s">
        <v>1399</v>
      </c>
      <c r="C6" s="1296">
        <f ca="1">ROUND(F6*F8*F7*(1-F9)/10000,0)</f>
        <v>8</v>
      </c>
      <c r="D6" s="164" t="s">
        <v>3032</v>
      </c>
      <c r="E6" s="347" t="s">
        <v>1401</v>
      </c>
      <c r="F6" s="348">
        <f ca="1">INDIRECT("'数据-取费表'!u"&amp;$G$1)</f>
        <v>4.5</v>
      </c>
      <c r="G6" s="1851"/>
      <c r="H6" s="1291" t="s">
        <v>1032</v>
      </c>
      <c r="I6" s="3165" t="s">
        <v>1399</v>
      </c>
      <c r="J6" s="346">
        <f ca="1">ROUND(M6*M8*M7*(1-M9)/10000,0)</f>
        <v>0</v>
      </c>
      <c r="K6" s="164" t="s">
        <v>3031</v>
      </c>
      <c r="L6" s="347" t="s">
        <v>1401</v>
      </c>
      <c r="M6" s="348">
        <f ca="1">INDIRECT("'数据-取费表'!z"&amp;$G$1)</f>
        <v>0</v>
      </c>
    </row>
    <row r="7" spans="1:37" ht="18" customHeight="1">
      <c r="A7" s="1295"/>
      <c r="B7" s="3166"/>
      <c r="C7" s="1297"/>
      <c r="D7" s="352"/>
      <c r="E7" s="1298" t="s">
        <v>1402</v>
      </c>
      <c r="F7" s="348">
        <f ca="1">IF(INDIRECT("'数据-取费表'!ah"&amp;$G$1)="",INDIRECT("'数据-取费表'!k"&amp;$G$1),INDIRECT("'数据-取费表'!ah"&amp;$G$1))</f>
        <v>54.79</v>
      </c>
      <c r="G7" s="1851"/>
      <c r="H7" s="349"/>
      <c r="I7" s="3166"/>
      <c r="J7" s="351"/>
      <c r="K7" s="352"/>
      <c r="L7" s="347" t="s">
        <v>1402</v>
      </c>
      <c r="M7" s="348">
        <f ca="1">F7</f>
        <v>54.79</v>
      </c>
    </row>
    <row r="8" spans="1:37" ht="18" customHeight="1">
      <c r="A8" s="349"/>
      <c r="B8" s="3166"/>
      <c r="C8" s="351"/>
      <c r="D8" s="352"/>
      <c r="E8" s="347" t="s">
        <v>1403</v>
      </c>
      <c r="F8" s="348">
        <f ca="1">INDIRECT("'数据-取费表'!ai"&amp;$G$1)</f>
        <v>365</v>
      </c>
      <c r="G8" s="1851"/>
      <c r="H8" s="349"/>
      <c r="I8" s="3166"/>
      <c r="J8" s="351"/>
      <c r="K8" s="352"/>
      <c r="L8" s="347" t="s">
        <v>1403</v>
      </c>
      <c r="M8" s="348">
        <f ca="1">INDIRECT("'数据-取费表'!ai"&amp;$G$1)</f>
        <v>365</v>
      </c>
    </row>
    <row r="9" spans="1:37" ht="18" customHeight="1">
      <c r="A9" s="349"/>
      <c r="B9" s="3167"/>
      <c r="C9" s="351"/>
      <c r="D9" s="352"/>
      <c r="E9" s="347" t="s">
        <v>1404</v>
      </c>
      <c r="F9" s="357">
        <f ca="1">INDIRECT("'数据-取费表'!w"&amp;$G$1)</f>
        <v>0.1</v>
      </c>
      <c r="G9" s="1851"/>
      <c r="H9" s="349"/>
      <c r="I9" s="316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t="s">
        <v>3069</v>
      </c>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27</v>
      </c>
      <c r="D13" s="1331" t="s">
        <v>1411</v>
      </c>
      <c r="E13" s="1331" t="s">
        <v>1412</v>
      </c>
      <c r="F13" s="1332">
        <f ca="1">INDIRECT("'数据-取费表'!y"&amp;$G$1)</f>
        <v>0.95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19</v>
      </c>
      <c r="D14" s="1800" t="s">
        <v>1414</v>
      </c>
      <c r="E14" s="1794"/>
      <c r="F14" s="364"/>
      <c r="G14" s="1851"/>
      <c r="H14" s="1201" t="s">
        <v>1032</v>
      </c>
      <c r="I14" s="347" t="s">
        <v>1415</v>
      </c>
      <c r="J14" s="24">
        <f ca="1">C29</f>
        <v>28</v>
      </c>
      <c r="K14" s="15"/>
      <c r="L14" s="979"/>
      <c r="M14" s="980"/>
    </row>
    <row r="15" spans="1:37" s="1858" customFormat="1" ht="18" customHeight="1" thickBot="1">
      <c r="A15" s="1201" t="s">
        <v>1033</v>
      </c>
      <c r="B15" s="347" t="s">
        <v>1416</v>
      </c>
      <c r="C15" s="24">
        <f ca="1">ROUND(C14*F15,0)</f>
        <v>1</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v>
      </c>
      <c r="K16" s="1337" t="s">
        <v>1421</v>
      </c>
      <c r="L16" s="1338"/>
      <c r="M16" s="1294"/>
    </row>
    <row r="17" spans="1:37" s="1858" customFormat="1" ht="18" customHeight="1">
      <c r="A17" s="1201" t="s">
        <v>1386</v>
      </c>
      <c r="B17" s="347" t="s">
        <v>1422</v>
      </c>
      <c r="C17" s="24">
        <f ca="1">ROUND(F17*(F43+INDIRECT("'数据-取费表'!S"&amp;$G$1))/10000,0)</f>
        <v>1</v>
      </c>
      <c r="D17" s="347" t="s">
        <v>1423</v>
      </c>
      <c r="E17" s="347" t="s">
        <v>1424</v>
      </c>
      <c r="F17" s="26">
        <f>'数据-取费表'!B35</f>
        <v>200</v>
      </c>
      <c r="G17" s="1854"/>
      <c r="H17" s="1201" t="s">
        <v>1032</v>
      </c>
      <c r="I17" s="347" t="s">
        <v>1425</v>
      </c>
      <c r="J17" s="24">
        <f ca="1">ROUND(IF(项目基本情况!B11="自然人",J5*M17,J18+J19+J20),1)</f>
        <v>0.3</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21</v>
      </c>
      <c r="D19" s="140" t="s">
        <v>1432</v>
      </c>
      <c r="E19" s="1818"/>
      <c r="F19" s="26"/>
      <c r="G19" s="1851"/>
      <c r="H19" s="1201" t="s">
        <v>1033</v>
      </c>
      <c r="I19" s="347" t="s">
        <v>1433</v>
      </c>
      <c r="J19" s="24">
        <f ca="1">IF(K19="按租金收入计税",ROUND(J5*M19,2),ROUND(C29*M19*0.7,2))</f>
        <v>0.24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ROUND(M20*M21/10000,2)</f>
        <v>0.02</v>
      </c>
      <c r="K20" s="370" t="s">
        <v>1438</v>
      </c>
      <c r="L20" s="347" t="s">
        <v>1439</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15.26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v>
      </c>
      <c r="K25" s="1345" t="s">
        <v>1460</v>
      </c>
      <c r="L25" s="1346"/>
      <c r="M25" s="1347"/>
    </row>
    <row r="26" spans="1:37">
      <c r="A26" s="1201" t="s">
        <v>1031</v>
      </c>
      <c r="B26" s="347" t="s">
        <v>1461</v>
      </c>
      <c r="C26" s="24">
        <f ca="1">ROUND((C19+C20)*F26,0)</f>
        <v>4</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28</v>
      </c>
      <c r="D29" s="1342"/>
      <c r="E29" s="1340"/>
      <c r="F29" s="1343"/>
      <c r="G29" s="1854"/>
      <c r="H29" s="380" t="s">
        <v>1030</v>
      </c>
      <c r="I29" s="381" t="s">
        <v>1475</v>
      </c>
      <c r="J29" s="382">
        <f ca="1">ROUND(J26/(1+F40)^F41,0)</f>
        <v>0</v>
      </c>
      <c r="K29" s="383" t="s">
        <v>1476</v>
      </c>
      <c r="L29" s="384"/>
      <c r="M29" s="385">
        <f ca="1">INDIRECT("'数据-取费表'!k"&amp;$G$1)</f>
        <v>54.79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0.43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0.96</v>
      </c>
      <c r="D33" s="1828" t="s">
        <v>3073</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0.02</v>
      </c>
      <c r="D34" s="370" t="s">
        <v>1438</v>
      </c>
      <c r="E34" s="347" t="s">
        <v>1439</v>
      </c>
      <c r="F34" s="371">
        <f>'数据-取费表'!B52</f>
        <v>10</v>
      </c>
      <c r="G34" s="1851"/>
      <c r="H34" s="745"/>
      <c r="I34" s="1860"/>
      <c r="J34" s="1861"/>
      <c r="K34" s="1863"/>
      <c r="L34" s="1864"/>
      <c r="M34" s="1864"/>
    </row>
    <row r="35" spans="1:18" ht="18" customHeight="1">
      <c r="A35" s="1353"/>
      <c r="B35" s="1351"/>
      <c r="C35" s="29"/>
      <c r="D35" s="373"/>
      <c r="E35" s="347" t="s">
        <v>1443</v>
      </c>
      <c r="F35" s="348">
        <f ca="1">INDIRECT("'数据-取费表'!r"&amp;$G$1)</f>
        <v>15.26</v>
      </c>
      <c r="G35" s="1851"/>
      <c r="H35" s="745"/>
      <c r="I35" s="1860"/>
      <c r="J35" s="1861"/>
      <c r="K35" s="1862"/>
      <c r="L35" s="1859"/>
      <c r="M35" s="1859"/>
    </row>
    <row r="36" spans="1:18" ht="18" customHeight="1">
      <c r="A36" s="1352" t="s">
        <v>1036</v>
      </c>
      <c r="B36" s="347" t="s">
        <v>1445</v>
      </c>
      <c r="C36" s="24">
        <f ca="1">ROUND(C29*F36,1)</f>
        <v>0.4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0.2</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127</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34.96</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23179</v>
      </c>
      <c r="D43" s="383" t="s">
        <v>1484</v>
      </c>
      <c r="E43" s="384" t="s">
        <v>1485</v>
      </c>
      <c r="F43" s="385">
        <f ca="1">INDIRECT("'数据-取费表'!k"&amp;$G$1)</f>
        <v>54.79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-170</v>
      </c>
      <c r="D46" s="1872" t="str">
        <f>C2</f>
        <v>万元</v>
      </c>
      <c r="E46" s="1866"/>
      <c r="F46" s="1866"/>
      <c r="I46" s="1873" t="s">
        <v>1517</v>
      </c>
      <c r="J46" s="1874"/>
      <c r="K46" s="1875"/>
      <c r="L46" s="1876">
        <f ca="1">IF(M47="住宅",0,IF(L48&gt;J51,L60,J60))</f>
        <v>1</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3070</v>
      </c>
      <c r="K47" s="1882" t="s">
        <v>1523</v>
      </c>
      <c r="L47" s="1883">
        <f ca="1">INDIRECT("'数据-取费表'!d"&amp;$G$1)</f>
        <v>40</v>
      </c>
      <c r="M47" s="1838" t="str">
        <f>IF(ISNUMBER(FIND("住宅",C1)),"住宅","非住宅")</f>
        <v>非住宅</v>
      </c>
      <c r="O47" s="1884" t="s">
        <v>1037</v>
      </c>
      <c r="P47" s="1885" t="s">
        <v>1524</v>
      </c>
      <c r="Q47" s="1886">
        <f ca="1">C40+J29</f>
        <v>127</v>
      </c>
      <c r="R47" s="1886" t="s">
        <v>1525</v>
      </c>
    </row>
    <row r="48" spans="1:18" s="1842" customFormat="1" ht="28.5" thickBot="1">
      <c r="A48" s="1360" t="s">
        <v>1132</v>
      </c>
      <c r="B48" s="345" t="s">
        <v>1397</v>
      </c>
      <c r="C48" s="1817">
        <f ca="1">C49+C53+C55</f>
        <v>0</v>
      </c>
      <c r="D48" s="1362"/>
      <c r="E48" s="1363"/>
      <c r="F48" s="1181"/>
      <c r="G48" s="792"/>
      <c r="H48" s="793"/>
      <c r="I48" s="1887" t="s">
        <v>1526</v>
      </c>
      <c r="J48" s="1888" t="s">
        <v>3071</v>
      </c>
      <c r="K48" s="1889" t="s">
        <v>1527</v>
      </c>
      <c r="L48" s="1890">
        <f ca="1">INDIRECT("'数据-取费表'!f"&amp;$G$1)</f>
        <v>34.96</v>
      </c>
      <c r="O48" s="1884" t="s">
        <v>1038</v>
      </c>
      <c r="P48" s="1885" t="s">
        <v>1528</v>
      </c>
      <c r="Q48" s="1886">
        <f ca="1">J60</f>
        <v>1</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v>2016</v>
      </c>
      <c r="K49" s="1889" t="s">
        <v>1531</v>
      </c>
      <c r="L49" s="1893"/>
      <c r="O49" s="1894" t="s">
        <v>1039</v>
      </c>
      <c r="P49" s="1885" t="s">
        <v>1532</v>
      </c>
      <c r="Q49" s="1886">
        <f ca="1">C29</f>
        <v>28</v>
      </c>
      <c r="R49" s="1886" t="s">
        <v>1525</v>
      </c>
    </row>
    <row r="50" spans="1:18" s="1842" customFormat="1" ht="13.5" thickBot="1">
      <c r="A50" s="1195"/>
      <c r="B50" s="1198"/>
      <c r="C50" s="1368"/>
      <c r="D50" s="1172"/>
      <c r="E50" s="1277" t="s">
        <v>1402</v>
      </c>
      <c r="F50" s="1278">
        <f ca="1">F7</f>
        <v>54.79</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57</v>
      </c>
      <c r="K51" s="1900" t="s">
        <v>1537</v>
      </c>
      <c r="L51" s="1901">
        <f ca="1">ROUND(-PV(INDIRECT("'数据-取费表'!h"&amp;$G$1),L48,(C39-C13*C76),0),0)</f>
        <v>59</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34.96</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34.96</v>
      </c>
      <c r="K53" s="3163" t="s">
        <v>1544</v>
      </c>
      <c r="L53" s="3164"/>
      <c r="O53" s="1884" t="s">
        <v>1043</v>
      </c>
      <c r="P53" s="1885" t="s">
        <v>1545</v>
      </c>
      <c r="Q53" s="1886">
        <f ca="1">Q47+Q48</f>
        <v>128</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0.36699999999999999</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27</v>
      </c>
      <c r="D56" s="1914"/>
      <c r="E56" s="1915"/>
      <c r="F56" s="1907"/>
      <c r="I56" s="1916" t="s">
        <v>1550</v>
      </c>
      <c r="J56" s="1917" t="s">
        <v>3072</v>
      </c>
      <c r="K56" s="1887" t="s">
        <v>1551</v>
      </c>
      <c r="L56" s="1890" t="str">
        <f ca="1">IF(L48&lt;J51,"——",L48-J53)</f>
        <v>——</v>
      </c>
      <c r="O56" s="1884" t="s">
        <v>1037</v>
      </c>
      <c r="P56" s="1885" t="s">
        <v>1524</v>
      </c>
      <c r="Q56" s="1886">
        <f ca="1">C40+J29</f>
        <v>127</v>
      </c>
      <c r="R56" s="1886" t="s">
        <v>1525</v>
      </c>
    </row>
    <row r="57" spans="1:18" s="1842" customFormat="1" ht="24.75" thickBot="1">
      <c r="A57" s="1918"/>
      <c r="B57" s="1169" t="s">
        <v>1474</v>
      </c>
      <c r="C57" s="282">
        <f ca="1">C29</f>
        <v>28</v>
      </c>
      <c r="D57" s="1919"/>
      <c r="E57" s="1920"/>
      <c r="F57" s="1921"/>
      <c r="I57" s="1922" t="s">
        <v>1552</v>
      </c>
      <c r="J57" s="1923">
        <f ca="1">IF(OR(M47="住宅",J51&lt;L48,J56="是"),"——",J51-L48)</f>
        <v>22.04</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2.4</v>
      </c>
      <c r="D59" s="1182" t="s">
        <v>1426</v>
      </c>
      <c r="E59" s="1183" t="s">
        <v>1427</v>
      </c>
      <c r="F59" s="368" t="str">
        <f ca="1">IF(项目基本情况!B11="企业","",IF(INDIRECT("'数据-取费表'!c"&amp;$G$1)="住宅",5%,IF(F49*F50*F51/12/(1+'数据-取费表'!C42)&gt;20000,12%,7%)))</f>
        <v/>
      </c>
      <c r="I59" s="1922" t="s">
        <v>1559</v>
      </c>
      <c r="J59" s="1923">
        <f ca="1">IF(OR(M47="住宅",J51&lt;L48,J56="是"),"——",ROUND(C29*J58,0))</f>
        <v>11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1</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2.35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0.02</v>
      </c>
      <c r="D62" s="1184" t="s">
        <v>1493</v>
      </c>
      <c r="E62" s="1169" t="s">
        <v>1494</v>
      </c>
      <c r="F62" s="371">
        <f t="shared" si="0"/>
        <v>10</v>
      </c>
      <c r="I62" s="1929" t="s">
        <v>1566</v>
      </c>
      <c r="J62" s="1930" t="s">
        <v>1567</v>
      </c>
      <c r="K62" s="1930" t="s">
        <v>1568</v>
      </c>
      <c r="L62" s="1930" t="s">
        <v>1569</v>
      </c>
      <c r="M62" s="1931" t="s">
        <v>1570</v>
      </c>
      <c r="O62" s="1884" t="s">
        <v>1043</v>
      </c>
      <c r="P62" s="1885" t="s">
        <v>1571</v>
      </c>
      <c r="Q62" s="1886">
        <f ca="1">Q56+Q57</f>
        <v>127</v>
      </c>
      <c r="R62" s="1886" t="s">
        <v>1044</v>
      </c>
    </row>
    <row r="63" spans="1:18" s="1842" customFormat="1" ht="13.5" thickBot="1">
      <c r="A63" s="372"/>
      <c r="B63" s="1175"/>
      <c r="C63" s="29"/>
      <c r="D63" s="1185"/>
      <c r="E63" s="1169" t="s">
        <v>1495</v>
      </c>
      <c r="F63" s="348">
        <f t="shared" ca="1" si="0"/>
        <v>15.26</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0.4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1.5E-3</v>
      </c>
      <c r="I65" s="1929" t="s">
        <v>1575</v>
      </c>
      <c r="J65" s="1930">
        <v>40</v>
      </c>
      <c r="K65" s="1930">
        <v>30</v>
      </c>
      <c r="L65" s="1930">
        <v>50</v>
      </c>
      <c r="M65" s="1932">
        <v>0.02</v>
      </c>
      <c r="O65" s="1884" t="s">
        <v>1037</v>
      </c>
      <c r="P65" s="1885" t="s">
        <v>1576</v>
      </c>
      <c r="Q65" s="1886">
        <f ca="1">C40+J29</f>
        <v>127</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-3</v>
      </c>
      <c r="D67" s="1182" t="s">
        <v>1460</v>
      </c>
      <c r="E67" s="1187"/>
      <c r="F67" s="1188"/>
      <c r="O67" s="1894" t="s">
        <v>1039</v>
      </c>
      <c r="P67" s="1885" t="s">
        <v>1558</v>
      </c>
      <c r="Q67" s="1933">
        <f ca="1">L51</f>
        <v>59</v>
      </c>
      <c r="R67" s="1886" t="s">
        <v>1578</v>
      </c>
    </row>
    <row r="68" spans="1:18" s="1842" customFormat="1" ht="16.5" thickBot="1">
      <c r="A68" s="1166" t="s">
        <v>1029</v>
      </c>
      <c r="B68" s="1167" t="s">
        <v>1481</v>
      </c>
      <c r="C68" s="346">
        <f ca="1">ROUND(C67*(1-((1+F70)/(1+F68))^F69)/(F68-F70),0)</f>
        <v>-43</v>
      </c>
      <c r="D68" s="1184" t="s">
        <v>1465</v>
      </c>
      <c r="E68" s="1169" t="s">
        <v>1466</v>
      </c>
      <c r="F68" s="357">
        <f ca="1">F40</f>
        <v>0.06</v>
      </c>
      <c r="O68" s="1894" t="s">
        <v>1040</v>
      </c>
      <c r="P68" s="1934" t="s">
        <v>1579</v>
      </c>
      <c r="Q68" s="1886">
        <f ca="1">ROUND(Q69-Q70*Q71,0)</f>
        <v>4</v>
      </c>
      <c r="R68" s="1886" t="s">
        <v>1048</v>
      </c>
    </row>
    <row r="69" spans="1:18" s="1842" customFormat="1" ht="13.5" thickBot="1">
      <c r="A69" s="1170"/>
      <c r="B69" s="1171"/>
      <c r="C69" s="351"/>
      <c r="D69" s="1189" t="s">
        <v>1469</v>
      </c>
      <c r="E69" s="1169" t="s">
        <v>1470</v>
      </c>
      <c r="F69" s="379">
        <f ca="1">F41</f>
        <v>34.96</v>
      </c>
      <c r="O69" s="1894" t="s">
        <v>1045</v>
      </c>
      <c r="P69" s="1934" t="s">
        <v>1580</v>
      </c>
      <c r="Q69" s="1886">
        <f ca="1">C39</f>
        <v>6</v>
      </c>
      <c r="R69" s="1886" t="s">
        <v>1525</v>
      </c>
    </row>
    <row r="70" spans="1:18" s="1842" customFormat="1" ht="13.5" thickBot="1">
      <c r="A70" s="1173"/>
      <c r="B70" s="1174"/>
      <c r="C70" s="355"/>
      <c r="D70" s="1185"/>
      <c r="E70" s="1169" t="s">
        <v>1473</v>
      </c>
      <c r="F70" s="1275"/>
      <c r="O70" s="1894" t="s">
        <v>1046</v>
      </c>
      <c r="P70" s="1934" t="s">
        <v>1581</v>
      </c>
      <c r="Q70" s="1886">
        <f ca="1">C13</f>
        <v>27</v>
      </c>
      <c r="R70" s="1886" t="s">
        <v>1525</v>
      </c>
    </row>
    <row r="71" spans="1:18" s="1842" customFormat="1" ht="13.5" thickBot="1">
      <c r="A71" s="1190" t="s">
        <v>1030</v>
      </c>
      <c r="B71" s="1191" t="s">
        <v>1483</v>
      </c>
      <c r="C71" s="382">
        <f ca="1">ROUND(C68*10000/F71,0)</f>
        <v>-7848</v>
      </c>
      <c r="D71" s="1192" t="s">
        <v>1484</v>
      </c>
      <c r="E71" s="1193" t="s">
        <v>1485</v>
      </c>
      <c r="F71" s="385">
        <f ca="1">F43</f>
        <v>54.79</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v>
      </c>
      <c r="D75" s="1842"/>
      <c r="E75" s="1842"/>
      <c r="F75" s="1842"/>
      <c r="K75" s="1868"/>
      <c r="L75" s="1842"/>
      <c r="O75" s="1884" t="s">
        <v>1043</v>
      </c>
      <c r="P75" s="1885" t="s">
        <v>1545</v>
      </c>
      <c r="Q75" s="1886">
        <f ca="1">Q65+Q66</f>
        <v>127</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0.66700000000000004</v>
      </c>
    </row>
    <row r="80" spans="1:18">
      <c r="B80" s="386" t="s">
        <v>1507</v>
      </c>
      <c r="C80" s="318">
        <f ca="1">ROUND(C75/C39,3)</f>
        <v>0.33300000000000002</v>
      </c>
    </row>
    <row r="81" spans="2:3">
      <c r="B81" s="314" t="s">
        <v>1508</v>
      </c>
      <c r="C81" s="282"/>
    </row>
    <row r="82" spans="2:3">
      <c r="B82" s="317" t="s">
        <v>1509</v>
      </c>
      <c r="C82" s="319">
        <f ca="1">1-C83</f>
        <v>0.78700000000000003</v>
      </c>
    </row>
    <row r="83" spans="2:3">
      <c r="B83" s="317" t="s">
        <v>1510</v>
      </c>
      <c r="C83" s="318">
        <f ca="1">ROUND(C13/C40,3)</f>
        <v>0.21299999999999999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5" t="s">
        <v>1399</v>
      </c>
      <c r="C6" s="1296">
        <f ca="1">ROUND(F6*F8*F7*(1-F9),0)</f>
        <v>0</v>
      </c>
      <c r="D6" s="164" t="s">
        <v>3029</v>
      </c>
      <c r="E6" s="347" t="s">
        <v>1401</v>
      </c>
      <c r="F6" s="348">
        <f ca="1">INDIRECT("'数据-取费表'!u"&amp;$G$1)</f>
        <v>0</v>
      </c>
      <c r="G6" s="1851"/>
      <c r="H6" s="1291" t="s">
        <v>1032</v>
      </c>
      <c r="I6" s="3165" t="s">
        <v>1399</v>
      </c>
      <c r="J6" s="346">
        <f ca="1">ROUND(M6*M8*M7*(1-M9),0)</f>
        <v>0</v>
      </c>
      <c r="K6" s="1834" t="s">
        <v>3030</v>
      </c>
      <c r="L6" s="347" t="s">
        <v>1401</v>
      </c>
      <c r="M6" s="348">
        <f ca="1">INDIRECT("'数据-取费表'!z"&amp;$G$1)</f>
        <v>0</v>
      </c>
    </row>
    <row r="7" spans="1:37" ht="18" customHeight="1">
      <c r="A7" s="1295"/>
      <c r="B7" s="3166"/>
      <c r="C7" s="1297"/>
      <c r="D7" s="352"/>
      <c r="E7" s="1298" t="s">
        <v>1402</v>
      </c>
      <c r="F7" s="348">
        <f ca="1">IF(INDIRECT("'数据-取费表'!ah"&amp;$G$1)="",INDIRECT("'数据-取费表'!k"&amp;$G$1),INDIRECT("'数据-取费表'!ah"&amp;$G$1))</f>
        <v>0</v>
      </c>
      <c r="G7" s="1851"/>
      <c r="H7" s="349"/>
      <c r="I7" s="3166"/>
      <c r="J7" s="351"/>
      <c r="K7" s="352"/>
      <c r="L7" s="347" t="s">
        <v>1402</v>
      </c>
      <c r="M7" s="348">
        <f ca="1">F7</f>
        <v>0</v>
      </c>
    </row>
    <row r="8" spans="1:37" ht="18" customHeight="1">
      <c r="A8" s="349"/>
      <c r="B8" s="3166"/>
      <c r="C8" s="351"/>
      <c r="D8" s="352"/>
      <c r="E8" s="347" t="s">
        <v>1403</v>
      </c>
      <c r="F8" s="348">
        <f ca="1">INDIRECT("'数据-取费表'!ai"&amp;$G$1)</f>
        <v>0</v>
      </c>
      <c r="G8" s="1851"/>
      <c r="H8" s="349"/>
      <c r="I8" s="3166"/>
      <c r="J8" s="351"/>
      <c r="K8" s="352"/>
      <c r="L8" s="347" t="s">
        <v>1403</v>
      </c>
      <c r="M8" s="348">
        <f ca="1">INDIRECT("'数据-取费表'!ai"&amp;$G$1)</f>
        <v>0</v>
      </c>
    </row>
    <row r="9" spans="1:37" ht="18" customHeight="1">
      <c r="A9" s="349"/>
      <c r="B9" s="3167"/>
      <c r="C9" s="351"/>
      <c r="D9" s="352"/>
      <c r="E9" s="347" t="s">
        <v>1404</v>
      </c>
      <c r="F9" s="357">
        <f ca="1">INDIRECT("'数据-取费表'!w"&amp;$G$1)</f>
        <v>0</v>
      </c>
      <c r="G9" s="1851"/>
      <c r="H9" s="349"/>
      <c r="I9" s="316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3" t="s">
        <v>1544</v>
      </c>
      <c r="L53" s="316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2527</v>
      </c>
      <c r="B1" s="2566"/>
      <c r="C1" s="2566"/>
      <c r="D1" s="2566"/>
      <c r="E1" s="2567"/>
    </row>
    <row r="2" spans="1:6" ht="15.75">
      <c r="A2" s="2568" t="s">
        <v>2328</v>
      </c>
      <c r="B2" s="2569">
        <f ca="1">SUMIF(B6:B13,"&lt;&gt;#ref!",B6:B13)</f>
        <v>128</v>
      </c>
      <c r="C2" s="2570" t="s">
        <v>2520</v>
      </c>
      <c r="D2" s="2571" t="s">
        <v>2521</v>
      </c>
      <c r="E2" s="2572">
        <f>SUM(E6:E13)</f>
        <v>54.79</v>
      </c>
    </row>
    <row r="3" spans="1:6" ht="15.75">
      <c r="A3" s="2568" t="s">
        <v>1391</v>
      </c>
      <c r="B3" s="2569">
        <f ca="1">ROUND(B2*10000/E2,0)</f>
        <v>23362</v>
      </c>
      <c r="C3" s="2570" t="s">
        <v>2528</v>
      </c>
      <c r="D3" s="2573"/>
      <c r="E3" s="2574"/>
    </row>
    <row r="4" spans="1:6" ht="15.75">
      <c r="A4" s="2575"/>
      <c r="B4" s="2573"/>
      <c r="C4" s="2573"/>
      <c r="D4" s="2573"/>
      <c r="E4" s="2574"/>
    </row>
    <row r="5" spans="1:6" ht="15">
      <c r="A5" s="2576" t="s">
        <v>2522</v>
      </c>
      <c r="B5" s="3168" t="s">
        <v>2523</v>
      </c>
      <c r="C5" s="3168"/>
      <c r="D5" s="2577"/>
      <c r="E5" s="2578" t="s">
        <v>2524</v>
      </c>
      <c r="F5" s="2579" t="s">
        <v>2525</v>
      </c>
    </row>
    <row r="6" spans="1:6">
      <c r="A6" s="2580" t="str">
        <f>'数据-取费表'!AN6</f>
        <v>收益法</v>
      </c>
      <c r="B6" s="2579">
        <f ca="1">IF(F6="是",'数据-取费表'!AO6,0)</f>
        <v>128</v>
      </c>
      <c r="C6" s="2570" t="s">
        <v>2520</v>
      </c>
      <c r="D6" s="2573"/>
      <c r="E6" s="2581">
        <f>IF(OR(A6=0,F6="否"),0,'数据-取费表'!K6+'数据-取费表'!S6)</f>
        <v>54.79</v>
      </c>
      <c r="F6" s="2582" t="s">
        <v>2526</v>
      </c>
    </row>
    <row r="7" spans="1:6">
      <c r="A7" s="2580">
        <f>'数据-取费表'!AN7</f>
        <v>0</v>
      </c>
      <c r="B7" s="2579" t="e">
        <f ca="1">IF(F7="是",'数据-取费表'!AO7,0)</f>
        <v>#REF!</v>
      </c>
      <c r="C7" s="2570" t="s">
        <v>2520</v>
      </c>
      <c r="D7" s="2573"/>
      <c r="E7" s="2581">
        <f>IF(OR(A7=0,F7="否"),0,'数据-取费表'!K7+'数据-取费表'!S7)</f>
        <v>0</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69" t="s">
        <v>1073</v>
      </c>
      <c r="B1" s="3170"/>
      <c r="C1" s="3171"/>
      <c r="D1" s="3172">
        <f>SUM(I10,I15,I20,I21,I23)</f>
        <v>0</v>
      </c>
      <c r="E1" s="3172"/>
      <c r="F1" s="3172"/>
      <c r="G1" s="3172"/>
      <c r="H1" s="3172"/>
      <c r="I1" s="3173"/>
    </row>
    <row r="2" spans="1:9">
      <c r="A2" s="3174" t="s">
        <v>1074</v>
      </c>
      <c r="B2" s="3175" t="s">
        <v>1075</v>
      </c>
      <c r="C2" s="3175"/>
      <c r="D2" s="1301" t="s">
        <v>1076</v>
      </c>
      <c r="E2" s="1301" t="s">
        <v>1077</v>
      </c>
      <c r="F2" s="1301" t="s">
        <v>1078</v>
      </c>
      <c r="G2" s="1301" t="s">
        <v>1079</v>
      </c>
      <c r="H2" s="1301" t="s">
        <v>1080</v>
      </c>
      <c r="I2" s="1302" t="s">
        <v>1081</v>
      </c>
    </row>
    <row r="3" spans="1:9">
      <c r="A3" s="3174"/>
      <c r="B3" s="3175" t="s">
        <v>1082</v>
      </c>
      <c r="C3" s="3175"/>
      <c r="D3" s="1303"/>
      <c r="E3" s="1301"/>
      <c r="F3" s="1304"/>
      <c r="G3" s="1304"/>
      <c r="H3" s="1305"/>
      <c r="I3" s="1306">
        <f>ROUND(D3*E3*F3*G3*H3/10000,0)</f>
        <v>0</v>
      </c>
    </row>
    <row r="4" spans="1:9">
      <c r="A4" s="3174"/>
      <c r="B4" s="3175" t="s">
        <v>1083</v>
      </c>
      <c r="C4" s="3175"/>
      <c r="D4" s="1303"/>
      <c r="E4" s="1301"/>
      <c r="F4" s="1304"/>
      <c r="G4" s="1304"/>
      <c r="H4" s="1305"/>
      <c r="I4" s="1306">
        <f t="shared" ref="I4:I9" si="0">ROUND(D4*E4*F4*G4*H4/10000,0)</f>
        <v>0</v>
      </c>
    </row>
    <row r="5" spans="1:9">
      <c r="A5" s="3174"/>
      <c r="B5" s="3175" t="s">
        <v>1084</v>
      </c>
      <c r="C5" s="3175"/>
      <c r="D5" s="1303"/>
      <c r="E5" s="1301"/>
      <c r="F5" s="1304"/>
      <c r="G5" s="1304"/>
      <c r="H5" s="1305"/>
      <c r="I5" s="1306">
        <f t="shared" si="0"/>
        <v>0</v>
      </c>
    </row>
    <row r="6" spans="1:9">
      <c r="A6" s="3174"/>
      <c r="B6" s="3175" t="s">
        <v>1085</v>
      </c>
      <c r="C6" s="3175"/>
      <c r="D6" s="1303"/>
      <c r="E6" s="1301"/>
      <c r="F6" s="1304"/>
      <c r="G6" s="1304"/>
      <c r="H6" s="1305"/>
      <c r="I6" s="1306">
        <f t="shared" si="0"/>
        <v>0</v>
      </c>
    </row>
    <row r="7" spans="1:9">
      <c r="A7" s="3174"/>
      <c r="B7" s="3175" t="s">
        <v>1086</v>
      </c>
      <c r="C7" s="3175"/>
      <c r="D7" s="1303"/>
      <c r="E7" s="1301"/>
      <c r="F7" s="1304"/>
      <c r="G7" s="1304"/>
      <c r="H7" s="1305"/>
      <c r="I7" s="1306">
        <f t="shared" si="0"/>
        <v>0</v>
      </c>
    </row>
    <row r="8" spans="1:9">
      <c r="A8" s="3174"/>
      <c r="B8" s="3175" t="s">
        <v>1087</v>
      </c>
      <c r="C8" s="3175"/>
      <c r="D8" s="1303"/>
      <c r="E8" s="1301"/>
      <c r="F8" s="1304"/>
      <c r="G8" s="1304"/>
      <c r="H8" s="1305"/>
      <c r="I8" s="1306">
        <f t="shared" si="0"/>
        <v>0</v>
      </c>
    </row>
    <row r="9" spans="1:9">
      <c r="A9" s="3174"/>
      <c r="B9" s="3175" t="s">
        <v>1088</v>
      </c>
      <c r="C9" s="3175"/>
      <c r="D9" s="1303"/>
      <c r="E9" s="1301"/>
      <c r="F9" s="1304"/>
      <c r="G9" s="1304"/>
      <c r="H9" s="1305"/>
      <c r="I9" s="1306">
        <f t="shared" si="0"/>
        <v>0</v>
      </c>
    </row>
    <row r="10" spans="1:9">
      <c r="A10" s="3174"/>
      <c r="B10" s="3176" t="s">
        <v>1089</v>
      </c>
      <c r="C10" s="3176"/>
      <c r="D10" s="1307"/>
      <c r="E10" s="1307" t="e">
        <f>ROUND(D1*10000/D10/H9,0)</f>
        <v>#DIV/0!</v>
      </c>
      <c r="F10" s="1308"/>
      <c r="G10" s="1308"/>
      <c r="H10" s="1309"/>
      <c r="I10" s="1310">
        <f>SUM(I3:I9)</f>
        <v>0</v>
      </c>
    </row>
    <row r="11" spans="1:9" ht="14.25">
      <c r="A11" s="3174" t="s">
        <v>1090</v>
      </c>
      <c r="B11" s="3175" t="s">
        <v>1091</v>
      </c>
      <c r="C11" s="3175"/>
      <c r="D11" s="1303" t="s">
        <v>1092</v>
      </c>
      <c r="E11" s="1303" t="s">
        <v>1093</v>
      </c>
      <c r="F11" s="1304" t="s">
        <v>1094</v>
      </c>
      <c r="G11" s="1304" t="s">
        <v>1080</v>
      </c>
      <c r="H11" s="1311" t="s">
        <v>1095</v>
      </c>
      <c r="I11" s="1302" t="s">
        <v>1081</v>
      </c>
    </row>
    <row r="12" spans="1:9">
      <c r="A12" s="3174"/>
      <c r="B12" s="3175" t="s">
        <v>1096</v>
      </c>
      <c r="C12" s="3175"/>
      <c r="D12" s="1303"/>
      <c r="E12" s="1303"/>
      <c r="F12" s="1304"/>
      <c r="G12" s="1305"/>
      <c r="H12" s="1312"/>
      <c r="I12" s="1302">
        <f>ROUND(D12*E12*F12*G12/10000,0)</f>
        <v>0</v>
      </c>
    </row>
    <row r="13" spans="1:9">
      <c r="A13" s="3174"/>
      <c r="B13" s="3175" t="s">
        <v>1097</v>
      </c>
      <c r="C13" s="3175"/>
      <c r="D13" s="1303"/>
      <c r="E13" s="1303"/>
      <c r="F13" s="1304"/>
      <c r="G13" s="1305"/>
      <c r="H13" s="1312"/>
      <c r="I13" s="1302">
        <f>ROUND(D13*E13*F13*G13/10000,0)</f>
        <v>0</v>
      </c>
    </row>
    <row r="14" spans="1:9">
      <c r="A14" s="3174"/>
      <c r="B14" s="3175" t="s">
        <v>1098</v>
      </c>
      <c r="C14" s="3175"/>
      <c r="D14" s="1303"/>
      <c r="E14" s="1303"/>
      <c r="F14" s="1304"/>
      <c r="G14" s="1305"/>
      <c r="H14" s="1312"/>
      <c r="I14" s="1302">
        <f>ROUND(D14*E14*F14*G14/10000,0)</f>
        <v>0</v>
      </c>
    </row>
    <row r="15" spans="1:9">
      <c r="A15" s="3174"/>
      <c r="B15" s="3176" t="s">
        <v>1089</v>
      </c>
      <c r="C15" s="3176"/>
      <c r="D15" s="1307"/>
      <c r="E15" s="1307">
        <f>SUM(E12:E14)</f>
        <v>0</v>
      </c>
      <c r="F15" s="1308"/>
      <c r="G15" s="1305"/>
      <c r="H15" s="1312"/>
      <c r="I15" s="1313">
        <f>SUM(I12:I14)</f>
        <v>0</v>
      </c>
    </row>
    <row r="16" spans="1:9" ht="24">
      <c r="A16" s="3174" t="s">
        <v>1099</v>
      </c>
      <c r="B16" s="3175" t="s">
        <v>1100</v>
      </c>
      <c r="C16" s="3175"/>
      <c r="D16" s="1303" t="s">
        <v>1076</v>
      </c>
      <c r="E16" s="1314" t="s">
        <v>1101</v>
      </c>
      <c r="F16" s="1304" t="s">
        <v>1102</v>
      </c>
      <c r="G16" s="1305" t="s">
        <v>1080</v>
      </c>
      <c r="H16" s="1311" t="s">
        <v>1095</v>
      </c>
      <c r="I16" s="1302" t="s">
        <v>1081</v>
      </c>
    </row>
    <row r="17" spans="1:9" ht="14.25">
      <c r="A17" s="3174"/>
      <c r="B17" s="3175" t="s">
        <v>1103</v>
      </c>
      <c r="C17" s="3175"/>
      <c r="D17" s="1303"/>
      <c r="E17" s="1303"/>
      <c r="F17" s="1304"/>
      <c r="G17" s="1305"/>
      <c r="H17" s="1315"/>
      <c r="I17" s="1316">
        <f>ROUND(D17*E17*F17*G17/10000,0)</f>
        <v>0</v>
      </c>
    </row>
    <row r="18" spans="1:9" ht="14.25">
      <c r="A18" s="3174"/>
      <c r="B18" s="3175" t="s">
        <v>1104</v>
      </c>
      <c r="C18" s="3175"/>
      <c r="D18" s="1303"/>
      <c r="E18" s="1303"/>
      <c r="F18" s="1304"/>
      <c r="G18" s="1305"/>
      <c r="H18" s="1315"/>
      <c r="I18" s="1316">
        <f>ROUND(D18*E18*F18*G18/10000,0)</f>
        <v>0</v>
      </c>
    </row>
    <row r="19" spans="1:9" ht="14.25">
      <c r="A19" s="3174"/>
      <c r="B19" s="3175" t="s">
        <v>1105</v>
      </c>
      <c r="C19" s="3175"/>
      <c r="D19" s="1303"/>
      <c r="E19" s="1303"/>
      <c r="F19" s="1304"/>
      <c r="G19" s="1305"/>
      <c r="H19" s="1315"/>
      <c r="I19" s="1316">
        <f>ROUND(D19*E19*F19*G19/10000,0)</f>
        <v>0</v>
      </c>
    </row>
    <row r="20" spans="1:9">
      <c r="A20" s="3174"/>
      <c r="B20" s="3176" t="s">
        <v>1089</v>
      </c>
      <c r="C20" s="3176"/>
      <c r="D20" s="1307">
        <f>SUM(D17:D19)</f>
        <v>0</v>
      </c>
      <c r="E20" s="1307"/>
      <c r="F20" s="1308"/>
      <c r="G20" s="1305"/>
      <c r="H20" s="1312"/>
      <c r="I20" s="1313">
        <f>SUM(I17:I19)</f>
        <v>0</v>
      </c>
    </row>
    <row r="21" spans="1:9">
      <c r="A21" s="3174" t="s">
        <v>1106</v>
      </c>
      <c r="B21" s="3178"/>
      <c r="C21" s="3178"/>
      <c r="D21" s="3178"/>
      <c r="E21" s="3178"/>
      <c r="F21" s="3178"/>
      <c r="G21" s="3178"/>
      <c r="H21" s="1765">
        <v>0.1</v>
      </c>
      <c r="I21" s="1310">
        <f>ROUND(I10*H21,0)</f>
        <v>0</v>
      </c>
    </row>
    <row r="22" spans="1:9" ht="14.25">
      <c r="A22" s="3179" t="s">
        <v>1107</v>
      </c>
      <c r="B22" s="3180"/>
      <c r="C22" s="3181"/>
      <c r="D22" s="1317" t="s">
        <v>1108</v>
      </c>
      <c r="E22" s="1317" t="s">
        <v>1109</v>
      </c>
      <c r="F22" s="1318" t="s">
        <v>1110</v>
      </c>
      <c r="G22" s="1318" t="s">
        <v>1111</v>
      </c>
      <c r="H22" s="1311" t="s">
        <v>1112</v>
      </c>
      <c r="I22" s="1302" t="s">
        <v>1113</v>
      </c>
    </row>
    <row r="23" spans="1:9" ht="14.25" thickBot="1">
      <c r="A23" s="3182"/>
      <c r="B23" s="3183"/>
      <c r="C23" s="3184"/>
      <c r="D23" s="1319"/>
      <c r="E23" s="1319"/>
      <c r="F23" s="1319"/>
      <c r="G23" s="1320"/>
      <c r="H23" s="1321"/>
      <c r="I23" s="1322">
        <f>ROUND(E23*D23*F23*(1-G23)/10000,0)</f>
        <v>0</v>
      </c>
    </row>
    <row r="26" spans="1:9">
      <c r="A26" s="1323" t="s">
        <v>1114</v>
      </c>
      <c r="B26" s="1323"/>
      <c r="C26" s="1323"/>
      <c r="D26" s="1323"/>
      <c r="E26" s="3185">
        <f>C27-C30-C31-C32</f>
        <v>0</v>
      </c>
      <c r="F26" s="3185"/>
      <c r="G26" s="3185"/>
      <c r="H26" s="1737" t="s">
        <v>1336</v>
      </c>
    </row>
    <row r="27" spans="1:9">
      <c r="A27" s="1324">
        <v>1</v>
      </c>
      <c r="B27" s="1325" t="s">
        <v>1115</v>
      </c>
      <c r="C27" s="1325">
        <f>C28+C29</f>
        <v>0</v>
      </c>
      <c r="D27" s="1325"/>
      <c r="E27" s="3186"/>
      <c r="F27" s="3186"/>
      <c r="G27" s="3186"/>
    </row>
    <row r="28" spans="1:9">
      <c r="A28" s="1326" t="s">
        <v>1116</v>
      </c>
      <c r="B28" s="1325" t="s">
        <v>1117</v>
      </c>
      <c r="C28" s="1325"/>
      <c r="D28" s="1325"/>
      <c r="E28" s="3186"/>
      <c r="F28" s="3186"/>
      <c r="G28" s="318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7"/>
      <c r="F32" s="3177"/>
      <c r="G32" s="3177"/>
    </row>
    <row r="33" spans="1:7" hidden="1">
      <c r="A33" s="3187" t="s">
        <v>1126</v>
      </c>
      <c r="B33" s="3188"/>
      <c r="C33" s="3188"/>
      <c r="D33" s="3189"/>
      <c r="E33" s="3185"/>
      <c r="F33" s="3185"/>
      <c r="G33" s="3185"/>
    </row>
    <row r="34" spans="1:7" hidden="1">
      <c r="A34" s="1328">
        <v>1</v>
      </c>
      <c r="B34" s="1325" t="s">
        <v>1127</v>
      </c>
      <c r="C34" s="1325"/>
      <c r="D34" s="1325"/>
      <c r="E34" s="3186"/>
      <c r="F34" s="3186"/>
      <c r="G34" s="3186"/>
    </row>
    <row r="35" spans="1:7" hidden="1">
      <c r="A35" s="1328">
        <v>2</v>
      </c>
      <c r="B35" s="1325" t="s">
        <v>1128</v>
      </c>
      <c r="C35" s="1325"/>
      <c r="D35" s="1325"/>
      <c r="E35" s="3186"/>
      <c r="F35" s="3186"/>
      <c r="G35" s="3186"/>
    </row>
    <row r="36" spans="1:7" hidden="1">
      <c r="A36" s="1328">
        <v>3</v>
      </c>
      <c r="B36" s="1325" t="s">
        <v>1129</v>
      </c>
      <c r="C36" s="1325"/>
      <c r="D36" s="1325"/>
      <c r="E36" s="3186"/>
      <c r="F36" s="3186"/>
      <c r="G36" s="3186"/>
    </row>
    <row r="37" spans="1:7" hidden="1">
      <c r="A37" s="1328">
        <v>4</v>
      </c>
      <c r="B37" s="1325" t="s">
        <v>1130</v>
      </c>
      <c r="C37" s="1325"/>
      <c r="D37" s="1325"/>
      <c r="E37" s="3186"/>
      <c r="F37" s="3186"/>
      <c r="G37" s="3186"/>
    </row>
    <row r="38" spans="1:7" hidden="1">
      <c r="A38" s="3187" t="s">
        <v>1131</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2530</v>
      </c>
      <c r="C1" s="1634" t="s">
        <v>2531</v>
      </c>
      <c r="D1" s="1621"/>
      <c r="E1" s="2587"/>
      <c r="F1" s="2588" t="s">
        <v>2532</v>
      </c>
      <c r="G1" s="1631" t="s">
        <v>2533</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2534</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2535</v>
      </c>
      <c r="D3" s="399">
        <f>IF(D1="",'数据-汇总表'!E3,SUMIF('数据-汇总表'!$C19:$C33,D1,'数据-汇总表'!$E19:$E33))</f>
        <v>36535.62999999999</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2536</v>
      </c>
      <c r="B4" s="402"/>
      <c r="C4" s="3208" t="s">
        <v>2537</v>
      </c>
      <c r="D4" s="3209"/>
      <c r="E4" s="3210" t="s">
        <v>2538</v>
      </c>
      <c r="F4" s="3211"/>
      <c r="G4" s="3208" t="s">
        <v>2539</v>
      </c>
      <c r="H4" s="3209"/>
      <c r="I4" s="3208" t="s">
        <v>2540</v>
      </c>
      <c r="J4" s="3209"/>
      <c r="K4" s="2600" t="s">
        <v>2541</v>
      </c>
      <c r="L4" s="1130"/>
      <c r="M4" s="1131"/>
      <c r="N4" s="1131"/>
      <c r="O4" s="1131"/>
      <c r="P4" s="3212" t="s">
        <v>2542</v>
      </c>
      <c r="Q4" s="3213"/>
      <c r="R4" s="3195" t="s">
        <v>2538</v>
      </c>
      <c r="S4" s="3196"/>
      <c r="T4" s="3195" t="s">
        <v>2539</v>
      </c>
      <c r="U4" s="3196"/>
      <c r="V4" s="3220" t="s">
        <v>2540</v>
      </c>
      <c r="W4" s="3220"/>
      <c r="X4" s="1813"/>
      <c r="Y4" s="3195" t="s">
        <v>2542</v>
      </c>
      <c r="Z4" s="3196"/>
      <c r="AA4" s="3190" t="s">
        <v>2538</v>
      </c>
      <c r="AB4" s="3190" t="s">
        <v>2539</v>
      </c>
      <c r="AC4" s="3190" t="s">
        <v>2540</v>
      </c>
    </row>
    <row r="5" spans="1:29" ht="15">
      <c r="A5" s="404"/>
      <c r="B5" s="405"/>
      <c r="C5" s="3201" t="s">
        <v>2543</v>
      </c>
      <c r="D5" s="3202"/>
      <c r="E5" s="3199" t="s">
        <v>2544</v>
      </c>
      <c r="F5" s="3200"/>
      <c r="G5" s="3201" t="s">
        <v>2545</v>
      </c>
      <c r="H5" s="3202"/>
      <c r="I5" s="3201" t="s">
        <v>2546</v>
      </c>
      <c r="J5" s="3202"/>
      <c r="K5" s="2601"/>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2547</v>
      </c>
      <c r="D6" s="3204"/>
      <c r="E6" s="3205" t="s">
        <v>2547</v>
      </c>
      <c r="F6" s="3206"/>
      <c r="G6" s="3203" t="s">
        <v>2547</v>
      </c>
      <c r="H6" s="3204"/>
      <c r="I6" s="3203" t="s">
        <v>2547</v>
      </c>
      <c r="J6" s="3204"/>
      <c r="K6" s="2601" t="s">
        <v>2548</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2549</v>
      </c>
      <c r="B7" s="409"/>
      <c r="C7" s="410">
        <f>'数据-取费表'!B2</f>
        <v>43619</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93" t="s">
        <v>2550</v>
      </c>
      <c r="Q7" s="3221"/>
      <c r="R7" s="770" t="s">
        <v>23</v>
      </c>
      <c r="S7" s="771">
        <f t="shared" ref="S7:S15" si="0">F7</f>
        <v>0</v>
      </c>
      <c r="T7" s="770" t="s">
        <v>23</v>
      </c>
      <c r="U7" s="771">
        <f t="shared" ref="U7:U15" si="1">H7</f>
        <v>0</v>
      </c>
      <c r="V7" s="770" t="s">
        <v>23</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93" t="s">
        <v>2553</v>
      </c>
      <c r="Q8" s="3194"/>
      <c r="R8" s="770" t="s">
        <v>23</v>
      </c>
      <c r="S8" s="771">
        <f t="shared" si="0"/>
        <v>0</v>
      </c>
      <c r="T8" s="770" t="s">
        <v>23</v>
      </c>
      <c r="U8" s="771">
        <f t="shared" si="1"/>
        <v>0</v>
      </c>
      <c r="V8" s="770" t="s">
        <v>23</v>
      </c>
      <c r="W8" s="771">
        <f t="shared" si="2"/>
        <v>0</v>
      </c>
      <c r="X8" s="772"/>
      <c r="Y8" s="3193" t="s">
        <v>2553</v>
      </c>
      <c r="Z8" s="319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7"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2560</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2561</v>
      </c>
      <c r="Q15" s="1810" t="str">
        <f t="shared" si="6"/>
        <v>居住社区成熟度</v>
      </c>
      <c r="R15" s="774" t="s">
        <v>21</v>
      </c>
      <c r="S15" s="775">
        <f t="shared" si="0"/>
        <v>100</v>
      </c>
      <c r="T15" s="774" t="s">
        <v>21</v>
      </c>
      <c r="U15" s="775">
        <f t="shared" si="1"/>
        <v>100</v>
      </c>
      <c r="V15" s="774" t="s">
        <v>21</v>
      </c>
      <c r="W15" s="775">
        <f t="shared" si="2"/>
        <v>100</v>
      </c>
      <c r="X15" s="1813"/>
      <c r="Y15" s="3227" t="s">
        <v>2561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35"/>
      <c r="Q16" s="1810"/>
      <c r="R16" s="774"/>
      <c r="S16" s="775"/>
      <c r="T16" s="774"/>
      <c r="U16" s="775"/>
      <c r="V16" s="774"/>
      <c r="W16" s="775"/>
      <c r="X16" s="1813"/>
      <c r="Y16" s="3228"/>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228"/>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35"/>
      <c r="Q18" s="1810"/>
      <c r="R18" s="774"/>
      <c r="S18" s="775"/>
      <c r="T18" s="774"/>
      <c r="U18" s="775"/>
      <c r="V18" s="774"/>
      <c r="W18" s="775"/>
      <c r="X18" s="1813"/>
      <c r="Y18" s="3228"/>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228"/>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35"/>
      <c r="Q20" s="1810"/>
      <c r="R20" s="774"/>
      <c r="S20" s="775"/>
      <c r="T20" s="774"/>
      <c r="U20" s="775"/>
      <c r="V20" s="774"/>
      <c r="W20" s="775"/>
      <c r="X20" s="1813"/>
      <c r="Y20" s="3228"/>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35"/>
      <c r="Q22" s="1810"/>
      <c r="R22" s="774"/>
      <c r="S22" s="775"/>
      <c r="T22" s="774"/>
      <c r="U22" s="775"/>
      <c r="V22" s="774"/>
      <c r="W22" s="775"/>
      <c r="X22" s="1813"/>
      <c r="Y22" s="3228"/>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228"/>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35"/>
      <c r="Q24" s="1810"/>
      <c r="R24" s="774"/>
      <c r="S24" s="775"/>
      <c r="T24" s="774"/>
      <c r="U24" s="775"/>
      <c r="V24" s="774"/>
      <c r="W24" s="775"/>
      <c r="X24" s="1813"/>
      <c r="Y24" s="3228"/>
      <c r="Z24" s="1814"/>
      <c r="AA24" s="1811">
        <v>1</v>
      </c>
      <c r="AB24" s="1811">
        <v>1</v>
      </c>
      <c r="AC24" s="1811">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8"/>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22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22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22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22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22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228"/>
      <c r="Z31" s="1814">
        <f t="shared" si="18"/>
        <v>111</v>
      </c>
      <c r="AA31" s="1811">
        <f t="shared" si="15"/>
        <v>1</v>
      </c>
      <c r="AB31" s="1811">
        <f t="shared" si="16"/>
        <v>1</v>
      </c>
      <c r="AC31" s="1811">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29" t="s">
        <v>2566</v>
      </c>
      <c r="Q32" s="1810" t="str">
        <f t="shared" si="11"/>
        <v>建筑类型</v>
      </c>
      <c r="R32" s="774" t="s">
        <v>21</v>
      </c>
      <c r="S32" s="775">
        <f t="shared" si="12"/>
        <v>100</v>
      </c>
      <c r="T32" s="774" t="s">
        <v>21</v>
      </c>
      <c r="U32" s="775">
        <f t="shared" si="13"/>
        <v>100</v>
      </c>
      <c r="V32" s="774" t="s">
        <v>21</v>
      </c>
      <c r="W32" s="775">
        <f t="shared" si="14"/>
        <v>100</v>
      </c>
      <c r="X32" s="1813"/>
      <c r="Y32" s="3232"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1" t="e">
        <f t="shared" si="15"/>
        <v>#N/A</v>
      </c>
      <c r="AB33" s="1811" t="e">
        <f t="shared" si="16"/>
        <v>#N/A</v>
      </c>
      <c r="AC33" s="1811"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32"/>
      <c r="Z34" s="1814" t="str">
        <f t="shared" si="18"/>
        <v>建筑结构</v>
      </c>
      <c r="AA34" s="1811">
        <f t="shared" si="15"/>
        <v>1</v>
      </c>
      <c r="AB34" s="1811">
        <f t="shared" si="16"/>
        <v>1</v>
      </c>
      <c r="AC34" s="1811">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32"/>
      <c r="Z35" s="1814" t="str">
        <f t="shared" si="18"/>
        <v>建筑品质</v>
      </c>
      <c r="AA35" s="1811">
        <f t="shared" si="15"/>
        <v>1</v>
      </c>
      <c r="AB35" s="1811">
        <f t="shared" si="16"/>
        <v>1</v>
      </c>
      <c r="AC35" s="1811">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32"/>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30" t="s">
        <v>2566</v>
      </c>
      <c r="Q38" s="1810" t="str">
        <f t="shared" si="11"/>
        <v>物业管理</v>
      </c>
      <c r="R38" s="774" t="s">
        <v>21</v>
      </c>
      <c r="S38" s="775">
        <f t="shared" si="12"/>
        <v>100</v>
      </c>
      <c r="T38" s="774" t="s">
        <v>21</v>
      </c>
      <c r="U38" s="775">
        <f t="shared" si="13"/>
        <v>100</v>
      </c>
      <c r="V38" s="774" t="s">
        <v>21</v>
      </c>
      <c r="W38" s="775">
        <f t="shared" si="14"/>
        <v>100</v>
      </c>
      <c r="X38" s="1813"/>
      <c r="Y38" s="3232" t="s">
        <v>2566</v>
      </c>
      <c r="Z38" s="1814" t="str">
        <f t="shared" si="18"/>
        <v>物业管理</v>
      </c>
      <c r="AA38" s="1811">
        <f t="shared" si="15"/>
        <v>1</v>
      </c>
      <c r="AB38" s="1811">
        <f t="shared" si="16"/>
        <v>1</v>
      </c>
      <c r="AC38" s="1811">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32"/>
      <c r="Z39" s="1814" t="str">
        <f t="shared" si="18"/>
        <v>市政基础设施</v>
      </c>
      <c r="AA39" s="1811">
        <f t="shared" si="15"/>
        <v>1</v>
      </c>
      <c r="AB39" s="1811">
        <f t="shared" si="16"/>
        <v>1</v>
      </c>
      <c r="AC39" s="1811">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32"/>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1">
        <f t="shared" si="15"/>
        <v>1</v>
      </c>
      <c r="AB41" s="1811">
        <f t="shared" si="16"/>
        <v>1</v>
      </c>
      <c r="AC41" s="1811">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32"/>
      <c r="Z42" s="1814" t="str">
        <f t="shared" si="18"/>
        <v>内部装修</v>
      </c>
      <c r="AA42" s="1811">
        <f t="shared" si="15"/>
        <v>1</v>
      </c>
      <c r="AB42" s="1811">
        <f t="shared" si="16"/>
        <v>1</v>
      </c>
      <c r="AC42" s="1811">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3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32"/>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3"/>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5"/>
      <c r="L47" s="1143"/>
      <c r="M47" s="1144"/>
      <c r="N47" s="1131"/>
      <c r="O47" s="1144"/>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6"/>
      <c r="L48" s="1143"/>
      <c r="M48" s="1144"/>
      <c r="N48" s="1144"/>
      <c r="O48" s="1144"/>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7"/>
      <c r="L49" s="1143"/>
      <c r="M49" s="1144"/>
      <c r="N49" s="1144"/>
      <c r="O49" s="1144"/>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30"/>
      <c r="Q57" s="504"/>
    </row>
    <row r="58" spans="1:29" s="508" customFormat="1" ht="15">
      <c r="A58" s="505" t="s">
        <v>2585</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2611</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2612</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2564</v>
      </c>
      <c r="B100" s="528" t="s">
        <v>2613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2616</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2617</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2618</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2619</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2620</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4">
        <v>6</v>
      </c>
      <c r="C139" s="1085">
        <v>96</v>
      </c>
      <c r="D139" s="2652" t="s">
        <v>2632</v>
      </c>
      <c r="E139" s="1086">
        <v>100</v>
      </c>
      <c r="F139" s="1087">
        <v>102.5</v>
      </c>
      <c r="G139" s="2652" t="s">
        <v>2632</v>
      </c>
      <c r="H139" s="1088">
        <v>105</v>
      </c>
      <c r="I139" s="2653" t="s">
        <v>2633</v>
      </c>
      <c r="J139" s="1085">
        <v>20</v>
      </c>
      <c r="K139" s="1089">
        <f>C145/(J139-2)</f>
        <v>4.0555555555555553E-3</v>
      </c>
    </row>
    <row r="140" spans="1:17" ht="15">
      <c r="B140" s="1090">
        <v>5</v>
      </c>
      <c r="C140" s="1091">
        <v>100</v>
      </c>
      <c r="D140" s="1091"/>
      <c r="E140" s="1092"/>
      <c r="F140" s="1093">
        <v>102</v>
      </c>
      <c r="G140" s="1091"/>
      <c r="H140" s="1094"/>
      <c r="I140" s="2654" t="s">
        <v>2634</v>
      </c>
      <c r="J140" s="315">
        <f>ROUNDUP((J139-1)/2,0)</f>
        <v>10</v>
      </c>
      <c r="K140" s="1095">
        <v>100</v>
      </c>
    </row>
    <row r="141" spans="1:17" ht="15">
      <c r="B141" s="1090">
        <v>4</v>
      </c>
      <c r="C141" s="1091">
        <v>102</v>
      </c>
      <c r="D141" s="1091"/>
      <c r="E141" s="1092"/>
      <c r="F141" s="1093">
        <v>101.5</v>
      </c>
      <c r="G141" s="1091"/>
      <c r="H141" s="1094"/>
      <c r="I141" s="2654" t="s">
        <v>2635</v>
      </c>
      <c r="J141" s="315">
        <v>1</v>
      </c>
      <c r="K141" s="1096">
        <f>ROUND(100+(J141-J140)*K139*100,1)</f>
        <v>96.4</v>
      </c>
    </row>
    <row r="142" spans="1:17" ht="15">
      <c r="B142" s="1090">
        <v>3</v>
      </c>
      <c r="C142" s="1091">
        <v>103</v>
      </c>
      <c r="D142" s="1091"/>
      <c r="E142" s="1092"/>
      <c r="F142" s="1093">
        <v>101</v>
      </c>
      <c r="G142" s="1091"/>
      <c r="H142" s="1094"/>
      <c r="I142" s="2654" t="s">
        <v>2636</v>
      </c>
      <c r="J142" s="315">
        <f>J139</f>
        <v>20</v>
      </c>
      <c r="K142" s="1097">
        <v>95</v>
      </c>
    </row>
    <row r="143" spans="1:17" ht="15">
      <c r="B143" s="1090">
        <v>2</v>
      </c>
      <c r="C143" s="1091">
        <v>100</v>
      </c>
      <c r="D143" s="1091"/>
      <c r="E143" s="1092"/>
      <c r="F143" s="1093">
        <v>100.5</v>
      </c>
      <c r="G143" s="1091"/>
      <c r="H143" s="1094"/>
      <c r="I143" s="2654" t="s">
        <v>2637</v>
      </c>
      <c r="J143" s="1091">
        <v>15</v>
      </c>
      <c r="K143" s="1096">
        <f>ROUND(100+(J143-J140)*K139*100,1)</f>
        <v>102</v>
      </c>
    </row>
    <row r="144" spans="1:17" ht="15">
      <c r="B144" s="1090">
        <v>1</v>
      </c>
      <c r="C144" s="1091">
        <v>98</v>
      </c>
      <c r="D144" s="2655" t="s">
        <v>2638</v>
      </c>
      <c r="E144" s="1092">
        <v>102</v>
      </c>
      <c r="F144" s="1098">
        <v>100</v>
      </c>
      <c r="G144" s="2655" t="s">
        <v>2638</v>
      </c>
      <c r="H144" s="1094">
        <v>105</v>
      </c>
      <c r="I144" s="2654" t="s">
        <v>2637</v>
      </c>
      <c r="J144" s="1091">
        <v>18</v>
      </c>
      <c r="K144" s="1096">
        <f>ROUND(100+(J144-J140)*K139*100,1)</f>
        <v>103.2</v>
      </c>
    </row>
    <row r="145" spans="2:11" ht="15.75" thickBot="1">
      <c r="B145" s="2656" t="s">
        <v>2639</v>
      </c>
      <c r="C145" s="1099">
        <f>ROUND(MAX(C139:C144)/MIN(C139:C144)-1,3)</f>
        <v>7.2999999999999995E-2</v>
      </c>
      <c r="D145" s="1100"/>
      <c r="E145" s="1100"/>
      <c r="F145" s="2657" t="s">
        <v>2640</v>
      </c>
      <c r="G145" s="2658"/>
      <c r="H145" s="2659"/>
      <c r="I145" s="2660" t="s">
        <v>2637</v>
      </c>
      <c r="J145" s="1101">
        <v>8</v>
      </c>
      <c r="K145" s="1102">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J42" sqref="J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2643</v>
      </c>
      <c r="C1" s="1634" t="s">
        <v>2531</v>
      </c>
      <c r="D1" s="1621">
        <v>1064</v>
      </c>
      <c r="E1" s="2661"/>
      <c r="F1" s="2588" t="s">
        <v>3113</v>
      </c>
      <c r="G1" s="1631" t="s">
        <v>2644</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2328</v>
      </c>
      <c r="B2" s="1418">
        <f>IF(C2="——",ROUND(C49*D3/10000,0),ROUND(C49*D3/10000,0)-D2)</f>
        <v>182</v>
      </c>
      <c r="C2" s="2590" t="s">
        <v>70</v>
      </c>
      <c r="D2" s="1365" t="e">
        <f ca="1">SUMIF(INDIRECT("'"&amp;F2&amp;"'"&amp;"!A:A"),"承租人权益价值",INDIRECT("'"&amp;F2&amp;"'"&amp;"!c:c"))</f>
        <v>#REF!</v>
      </c>
      <c r="E2" s="2591" t="s">
        <v>2329</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2330</v>
      </c>
      <c r="B3" s="609">
        <f>IF(C2="——",C49,ROUND(B2*10000/D3,0))</f>
        <v>33291</v>
      </c>
      <c r="C3" s="400" t="s">
        <v>2645</v>
      </c>
      <c r="D3" s="399">
        <f>IF(D1="",'数据-汇总表'!E3,SUMIF('数据-汇总表'!$C19:$C33,D1,'数据-汇总表'!$E19:$E33))</f>
        <v>54.79</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220" t="s">
        <v>2649</v>
      </c>
      <c r="AC4" s="3190" t="s">
        <v>2650</v>
      </c>
    </row>
    <row r="5" spans="1:29" ht="15">
      <c r="A5" s="404"/>
      <c r="B5" s="405"/>
      <c r="C5" s="3237" t="s">
        <v>3074</v>
      </c>
      <c r="D5" s="3202"/>
      <c r="E5" s="3236" t="s">
        <v>3075</v>
      </c>
      <c r="F5" s="3200"/>
      <c r="G5" s="3237" t="s">
        <v>3119</v>
      </c>
      <c r="H5" s="3202"/>
      <c r="I5" s="3237" t="s">
        <v>3115</v>
      </c>
      <c r="J5" s="3202"/>
      <c r="K5" s="610"/>
      <c r="L5" s="1130"/>
      <c r="M5" s="1131"/>
      <c r="N5" s="1131"/>
      <c r="O5" s="1131"/>
      <c r="P5" s="3214"/>
      <c r="Q5" s="3215"/>
      <c r="R5" s="3197"/>
      <c r="S5" s="3198"/>
      <c r="T5" s="3197"/>
      <c r="U5" s="3198"/>
      <c r="V5" s="3220"/>
      <c r="W5" s="3220"/>
      <c r="X5" s="1813"/>
      <c r="Y5" s="3197"/>
      <c r="Z5" s="3198"/>
      <c r="AA5" s="3191"/>
      <c r="AB5" s="3220"/>
      <c r="AC5" s="3191"/>
    </row>
    <row r="6" spans="1:29" ht="15.75" thickBot="1">
      <c r="A6" s="406"/>
      <c r="B6" s="407"/>
      <c r="C6" s="3203" t="s">
        <v>2547</v>
      </c>
      <c r="D6" s="3204"/>
      <c r="E6" s="3205" t="s">
        <v>2547</v>
      </c>
      <c r="F6" s="3206"/>
      <c r="G6" s="3203" t="s">
        <v>2547</v>
      </c>
      <c r="H6" s="3204"/>
      <c r="I6" s="3203" t="s">
        <v>2547</v>
      </c>
      <c r="J6" s="3204"/>
      <c r="K6" s="610" t="s">
        <v>2548</v>
      </c>
      <c r="L6" s="1130"/>
      <c r="M6" s="1131"/>
      <c r="N6" s="1131"/>
      <c r="O6" s="1131"/>
      <c r="P6" s="3216"/>
      <c r="Q6" s="3217"/>
      <c r="R6" s="3197"/>
      <c r="S6" s="3198"/>
      <c r="T6" s="3218"/>
      <c r="U6" s="3219"/>
      <c r="V6" s="3220"/>
      <c r="W6" s="3220"/>
      <c r="X6" s="1813"/>
      <c r="Y6" s="3218"/>
      <c r="Z6" s="3219"/>
      <c r="AA6" s="3192"/>
      <c r="AB6" s="3220"/>
      <c r="AC6" s="3192"/>
    </row>
    <row r="7" spans="1:29" s="117" customFormat="1" ht="15.75" thickBot="1">
      <c r="A7" s="408" t="s">
        <v>2549</v>
      </c>
      <c r="B7" s="409"/>
      <c r="C7" s="410">
        <f>'数据-取费表'!B2</f>
        <v>43619</v>
      </c>
      <c r="D7" s="411">
        <v>100</v>
      </c>
      <c r="E7" s="412">
        <f>C7</f>
        <v>43619</v>
      </c>
      <c r="F7" s="413">
        <f>SUMIF(58:58,YEAR(E7)&amp;"-"&amp;MONTH(E7),59:59)</f>
        <v>100</v>
      </c>
      <c r="G7" s="412">
        <f>C7</f>
        <v>43619</v>
      </c>
      <c r="H7" s="411">
        <f>SUMIF(58:58,YEAR(G7)&amp;"-"&amp;MONTH(G7),59:59)</f>
        <v>100</v>
      </c>
      <c r="I7" s="412">
        <f>C7</f>
        <v>43619</v>
      </c>
      <c r="J7" s="411">
        <f>SUMIF(58:58,YEAR(I7)&amp;"-"&amp;MONTH(I7),59:59)</f>
        <v>100</v>
      </c>
      <c r="K7" s="611"/>
      <c r="L7" s="1132"/>
      <c r="M7" s="1133"/>
      <c r="N7" s="1133"/>
      <c r="O7" s="1133"/>
      <c r="P7" s="3193" t="s">
        <v>2550</v>
      </c>
      <c r="Q7" s="3221"/>
      <c r="R7" s="770" t="s">
        <v>17</v>
      </c>
      <c r="S7" s="771">
        <f t="shared" ref="S7:S15" si="0">F7</f>
        <v>100</v>
      </c>
      <c r="T7" s="770" t="s">
        <v>17</v>
      </c>
      <c r="U7" s="771">
        <f t="shared" ref="U7:U15" si="1">H7</f>
        <v>100</v>
      </c>
      <c r="V7" s="770" t="s">
        <v>17</v>
      </c>
      <c r="W7" s="771">
        <f t="shared" ref="W7:W15" si="2">J7</f>
        <v>100</v>
      </c>
      <c r="X7" s="772"/>
      <c r="Y7" s="3193" t="s">
        <v>2550</v>
      </c>
      <c r="Z7" s="3194"/>
      <c r="AA7" s="773">
        <f>D7/F7</f>
        <v>1</v>
      </c>
      <c r="AB7" s="773">
        <f>D7/H7</f>
        <v>1</v>
      </c>
      <c r="AC7" s="773">
        <f>D7/J7</f>
        <v>1</v>
      </c>
    </row>
    <row r="8" spans="1:29" s="117" customFormat="1" ht="15.75" thickBot="1">
      <c r="A8" s="408" t="s">
        <v>2551</v>
      </c>
      <c r="B8" s="409"/>
      <c r="C8" s="414" t="s">
        <v>2653</v>
      </c>
      <c r="D8" s="411">
        <v>100</v>
      </c>
      <c r="E8" s="414" t="s">
        <v>3076</v>
      </c>
      <c r="F8" s="413">
        <f>SUMIF(61:61,E8,62:62)-SUMIF(61:61,C8,62:62)+100</f>
        <v>100</v>
      </c>
      <c r="G8" s="414" t="s">
        <v>3076</v>
      </c>
      <c r="H8" s="411">
        <f>SUMIF(61:61,G8,62:62)-SUMIF(61:61,C8,62:62)+100</f>
        <v>100</v>
      </c>
      <c r="I8" s="414" t="s">
        <v>3076</v>
      </c>
      <c r="J8" s="411">
        <f>SUMIF(61:61,I8,62:62)-SUMIF(61:61,C8,62:62)+100</f>
        <v>100</v>
      </c>
      <c r="K8" s="611"/>
      <c r="L8" s="1132"/>
      <c r="M8" s="1133"/>
      <c r="N8" s="1133"/>
      <c r="O8" s="1133"/>
      <c r="P8" s="3193" t="s">
        <v>2553</v>
      </c>
      <c r="Q8" s="3194"/>
      <c r="R8" s="770" t="s">
        <v>17</v>
      </c>
      <c r="S8" s="771">
        <f t="shared" si="0"/>
        <v>100</v>
      </c>
      <c r="T8" s="770" t="s">
        <v>17</v>
      </c>
      <c r="U8" s="771">
        <f t="shared" si="1"/>
        <v>100</v>
      </c>
      <c r="V8" s="770" t="s">
        <v>17</v>
      </c>
      <c r="W8" s="771">
        <f t="shared" si="2"/>
        <v>100</v>
      </c>
      <c r="X8" s="772"/>
      <c r="Y8" s="3193" t="s">
        <v>2553</v>
      </c>
      <c r="Z8" s="3194"/>
      <c r="AA8" s="773">
        <f t="shared" ref="AA8:AA46" si="3">D8/F8</f>
        <v>1</v>
      </c>
      <c r="AB8" s="773">
        <f t="shared" ref="AB8:AB46" si="4">D8/H8</f>
        <v>1</v>
      </c>
      <c r="AC8" s="773">
        <f t="shared" ref="AC8:AC46" si="5">D8/J8</f>
        <v>1</v>
      </c>
    </row>
    <row r="9" spans="1:29" s="117" customFormat="1">
      <c r="A9" s="415" t="s">
        <v>2554</v>
      </c>
      <c r="B9" s="71" t="s">
        <v>2555</v>
      </c>
      <c r="C9" s="2958" t="s">
        <v>3077</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207"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t="s">
        <v>3078</v>
      </c>
      <c r="D10" s="136">
        <v>100</v>
      </c>
      <c r="E10" s="424" t="s">
        <v>3078</v>
      </c>
      <c r="F10" s="425">
        <f>SUMIF(65:65,E10,66:66)-SUMIF(65:65,C10,66:66)+100</f>
        <v>100</v>
      </c>
      <c r="G10" s="423" t="s">
        <v>3078</v>
      </c>
      <c r="H10" s="136">
        <f>SUMIF(65:65,G10,66:66)-SUMIF(65:65,C10,66:66)+100</f>
        <v>100</v>
      </c>
      <c r="I10" s="423" t="s">
        <v>3078</v>
      </c>
      <c r="J10" s="136">
        <f>SUMIF(65:65,I10,66:66)-SUMIF(65:65,C10,66:66)+100</f>
        <v>100</v>
      </c>
      <c r="K10" s="612">
        <v>2</v>
      </c>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07"/>
      <c r="Q11" s="1795"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773">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40"/>
      <c r="M15" s="1131"/>
      <c r="N15" s="1131"/>
      <c r="O15" s="1131"/>
      <c r="P15" s="3234" t="s">
        <v>2561</v>
      </c>
      <c r="Q15" s="1810" t="str">
        <f t="shared" si="6"/>
        <v>商业繁华度</v>
      </c>
      <c r="R15" s="774" t="s">
        <v>17</v>
      </c>
      <c r="S15" s="775">
        <f t="shared" si="0"/>
        <v>100</v>
      </c>
      <c r="T15" s="774" t="s">
        <v>17</v>
      </c>
      <c r="U15" s="775">
        <f t="shared" si="1"/>
        <v>100</v>
      </c>
      <c r="V15" s="774" t="s">
        <v>17</v>
      </c>
      <c r="W15" s="775">
        <f t="shared" si="2"/>
        <v>100</v>
      </c>
      <c r="X15" s="1813"/>
      <c r="Y15" s="3227" t="s">
        <v>2561</v>
      </c>
      <c r="Z15" s="1814" t="str">
        <f t="shared" si="7"/>
        <v>商业繁华度</v>
      </c>
      <c r="AA15" s="1811">
        <f t="shared" si="3"/>
        <v>1</v>
      </c>
      <c r="AB15" s="1811">
        <f t="shared" si="4"/>
        <v>1</v>
      </c>
      <c r="AC15" s="1811">
        <f t="shared" si="5"/>
        <v>1</v>
      </c>
    </row>
    <row r="16" spans="1:29" ht="15">
      <c r="A16" s="428"/>
      <c r="B16" s="446"/>
      <c r="C16" s="447" t="s">
        <v>3079</v>
      </c>
      <c r="D16" s="448"/>
      <c r="E16" s="447" t="s">
        <v>3079</v>
      </c>
      <c r="F16" s="449"/>
      <c r="G16" s="447" t="s">
        <v>3079</v>
      </c>
      <c r="H16" s="450"/>
      <c r="I16" s="447" t="s">
        <v>3079</v>
      </c>
      <c r="J16" s="448"/>
      <c r="K16" s="615"/>
      <c r="L16" s="1140"/>
      <c r="M16" s="1131"/>
      <c r="N16" s="1131"/>
      <c r="O16" s="1131"/>
      <c r="P16" s="3235"/>
      <c r="Q16" s="1810"/>
      <c r="R16" s="774"/>
      <c r="S16" s="775"/>
      <c r="T16" s="774"/>
      <c r="U16" s="775"/>
      <c r="V16" s="774"/>
      <c r="W16" s="775"/>
      <c r="X16" s="1813"/>
      <c r="Y16" s="3228"/>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0"/>
      <c r="M17" s="1131"/>
      <c r="N17" s="1131"/>
      <c r="O17" s="1131"/>
      <c r="P17" s="3235"/>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456"/>
      <c r="C18" s="2612" t="s">
        <v>3079</v>
      </c>
      <c r="D18" s="450"/>
      <c r="E18" s="2614" t="s">
        <v>3079</v>
      </c>
      <c r="F18" s="453"/>
      <c r="G18" s="2613" t="s">
        <v>3079</v>
      </c>
      <c r="H18" s="448"/>
      <c r="I18" s="2614" t="s">
        <v>3079</v>
      </c>
      <c r="J18" s="448"/>
      <c r="K18" s="615"/>
      <c r="L18" s="1140"/>
      <c r="M18" s="1131"/>
      <c r="N18" s="1131"/>
      <c r="O18" s="1131"/>
      <c r="P18" s="3235"/>
      <c r="Q18" s="1810"/>
      <c r="R18" s="774"/>
      <c r="S18" s="775"/>
      <c r="T18" s="774"/>
      <c r="U18" s="775"/>
      <c r="V18" s="774"/>
      <c r="W18" s="775"/>
      <c r="X18" s="1813"/>
      <c r="Y18" s="3228"/>
      <c r="Z18" s="1814"/>
      <c r="AA18" s="1811">
        <v>1</v>
      </c>
      <c r="AB18" s="1811">
        <v>1</v>
      </c>
      <c r="AC18" s="1811">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3305">
        <f>SUMIF(80:80,G20,81:81)-SUMIF(80:80,C20,81:81)+100</f>
        <v>102</v>
      </c>
      <c r="I19" s="457"/>
      <c r="J19" s="450">
        <f>SUMIF(80:80,I20,81:81)-SUMIF(80:80,C20,81:81)+100</f>
        <v>100</v>
      </c>
      <c r="K19" s="614">
        <v>2</v>
      </c>
      <c r="L19" s="1140"/>
      <c r="M19" s="1131"/>
      <c r="N19" s="1131"/>
      <c r="O19" s="1131"/>
      <c r="P19" s="3235"/>
      <c r="Q19" s="1810" t="str">
        <f>B19</f>
        <v>公共配套设施</v>
      </c>
      <c r="R19" s="774" t="s">
        <v>17</v>
      </c>
      <c r="S19" s="775">
        <f>F19</f>
        <v>100</v>
      </c>
      <c r="T19" s="774" t="s">
        <v>17</v>
      </c>
      <c r="U19" s="775">
        <f>H19</f>
        <v>102</v>
      </c>
      <c r="V19" s="774" t="s">
        <v>17</v>
      </c>
      <c r="W19" s="775">
        <f>J19</f>
        <v>100</v>
      </c>
      <c r="X19" s="1813"/>
      <c r="Y19" s="3228"/>
      <c r="Z19" s="1814" t="str">
        <f>Q19</f>
        <v>公共配套设施</v>
      </c>
      <c r="AA19" s="1811">
        <f t="shared" si="3"/>
        <v>1</v>
      </c>
      <c r="AB19" s="1811">
        <f t="shared" si="4"/>
        <v>0.98039215686274506</v>
      </c>
      <c r="AC19" s="1811">
        <f t="shared" si="5"/>
        <v>1</v>
      </c>
    </row>
    <row r="20" spans="1:29" ht="15">
      <c r="A20" s="428"/>
      <c r="B20" s="456"/>
      <c r="C20" s="447" t="s">
        <v>3080</v>
      </c>
      <c r="D20" s="448"/>
      <c r="E20" s="2609" t="s">
        <v>3080</v>
      </c>
      <c r="F20" s="449"/>
      <c r="G20" s="2608" t="s">
        <v>3079</v>
      </c>
      <c r="H20" s="448"/>
      <c r="I20" s="2609" t="s">
        <v>3080</v>
      </c>
      <c r="J20" s="448"/>
      <c r="K20" s="615"/>
      <c r="L20" s="1140"/>
      <c r="M20" s="1131"/>
      <c r="N20" s="1131"/>
      <c r="O20" s="1131"/>
      <c r="P20" s="3235"/>
      <c r="Q20" s="1810"/>
      <c r="R20" s="774"/>
      <c r="S20" s="775"/>
      <c r="T20" s="774"/>
      <c r="U20" s="775"/>
      <c r="V20" s="774"/>
      <c r="W20" s="775"/>
      <c r="X20" s="1813"/>
      <c r="Y20" s="3228"/>
      <c r="Z20" s="1814"/>
      <c r="AA20" s="1811">
        <v>1</v>
      </c>
      <c r="AB20" s="1811">
        <v>1</v>
      </c>
      <c r="AC20" s="1811">
        <v>1</v>
      </c>
    </row>
    <row r="21" spans="1:29" ht="28.5">
      <c r="A21" s="428"/>
      <c r="B21" s="1384"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2" t="s">
        <v>3081</v>
      </c>
      <c r="D22" s="448"/>
      <c r="E22" s="447" t="s">
        <v>3081</v>
      </c>
      <c r="F22" s="449"/>
      <c r="G22" s="447" t="s">
        <v>3081</v>
      </c>
      <c r="H22" s="448"/>
      <c r="I22" s="447" t="s">
        <v>3081</v>
      </c>
      <c r="J22" s="448"/>
      <c r="K22" s="1383"/>
      <c r="L22" s="1140"/>
      <c r="M22" s="1131"/>
      <c r="N22" s="1131"/>
      <c r="O22" s="1131"/>
      <c r="P22" s="3235"/>
      <c r="Q22" s="1810"/>
      <c r="R22" s="774"/>
      <c r="S22" s="775"/>
      <c r="T22" s="774"/>
      <c r="U22" s="775"/>
      <c r="V22" s="774"/>
      <c r="W22" s="775"/>
      <c r="X22" s="1813"/>
      <c r="Y22" s="3228"/>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3305">
        <f>SUMIF(84:84,G24,85:85)-SUMIF(84:84,C24,85:85)+100</f>
        <v>101</v>
      </c>
      <c r="I23" s="452"/>
      <c r="J23" s="450">
        <f>SUMIF(84:84,I24,85:85)-SUMIF(84:84,C24,85:85)+100</f>
        <v>100</v>
      </c>
      <c r="K23" s="614">
        <v>1</v>
      </c>
      <c r="L23" s="1140"/>
      <c r="M23" s="1131"/>
      <c r="N23" s="1131"/>
      <c r="O23" s="1131"/>
      <c r="P23" s="3235"/>
      <c r="Q23" s="1810" t="str">
        <f>B23</f>
        <v>自然及人文环境</v>
      </c>
      <c r="R23" s="774" t="s">
        <v>17</v>
      </c>
      <c r="S23" s="775">
        <f>F23</f>
        <v>100</v>
      </c>
      <c r="T23" s="774" t="s">
        <v>17</v>
      </c>
      <c r="U23" s="775">
        <f>H23</f>
        <v>101</v>
      </c>
      <c r="V23" s="774" t="s">
        <v>17</v>
      </c>
      <c r="W23" s="775">
        <f>J23</f>
        <v>100</v>
      </c>
      <c r="X23" s="1813"/>
      <c r="Y23" s="3228"/>
      <c r="Z23" s="1814" t="str">
        <f>Q23</f>
        <v>自然及人文环境</v>
      </c>
      <c r="AA23" s="1811">
        <f t="shared" si="3"/>
        <v>1</v>
      </c>
      <c r="AB23" s="1811">
        <f t="shared" si="4"/>
        <v>0.99009900990099009</v>
      </c>
      <c r="AC23" s="1811">
        <f t="shared" si="5"/>
        <v>1</v>
      </c>
    </row>
    <row r="24" spans="1:29" ht="15">
      <c r="A24" s="428"/>
      <c r="B24" s="456"/>
      <c r="C24" s="447" t="s">
        <v>3080</v>
      </c>
      <c r="D24" s="448"/>
      <c r="E24" s="2609" t="s">
        <v>3080</v>
      </c>
      <c r="F24" s="449"/>
      <c r="G24" s="2608" t="s">
        <v>3079</v>
      </c>
      <c r="H24" s="448"/>
      <c r="I24" s="2609" t="s">
        <v>3080</v>
      </c>
      <c r="J24" s="448"/>
      <c r="K24" s="615"/>
      <c r="L24" s="1140"/>
      <c r="M24" s="1131"/>
      <c r="N24" s="1131"/>
      <c r="O24" s="1131"/>
      <c r="P24" s="3235"/>
      <c r="Q24" s="1810"/>
      <c r="R24" s="774"/>
      <c r="S24" s="775"/>
      <c r="T24" s="774"/>
      <c r="U24" s="775"/>
      <c r="V24" s="774"/>
      <c r="W24" s="775"/>
      <c r="X24" s="1813"/>
      <c r="Y24" s="3228"/>
      <c r="Z24" s="1814"/>
      <c r="AA24" s="1811">
        <v>1</v>
      </c>
      <c r="AB24" s="1811">
        <v>1</v>
      </c>
      <c r="AC24" s="1811">
        <v>1</v>
      </c>
    </row>
    <row r="25" spans="1:29" ht="15">
      <c r="A25" s="428"/>
      <c r="B25" s="422" t="s">
        <v>2657</v>
      </c>
      <c r="C25" s="616" t="s">
        <v>3086</v>
      </c>
      <c r="D25" s="435">
        <v>100</v>
      </c>
      <c r="E25" s="616" t="s">
        <v>3084</v>
      </c>
      <c r="F25" s="461">
        <f>SUMIF(86:86,E25,87:87)-SUMIF(86:86,C25,87:87)+100</f>
        <v>101</v>
      </c>
      <c r="G25" s="616" t="s">
        <v>3084</v>
      </c>
      <c r="H25" s="435">
        <f>SUMIF(86:86,G25,87:87)-SUMIF(86:86,C25,87:87)+100</f>
        <v>101</v>
      </c>
      <c r="I25" s="616" t="s">
        <v>3084</v>
      </c>
      <c r="J25" s="435">
        <f>SUMIF(86:86,I25,87:87)-SUMIF(86:86,C25,87:87)+100</f>
        <v>101</v>
      </c>
      <c r="K25" s="612">
        <v>1</v>
      </c>
      <c r="L25" s="1140"/>
      <c r="M25" s="1131"/>
      <c r="N25" s="1131"/>
      <c r="O25" s="1131"/>
      <c r="P25" s="3235"/>
      <c r="Q25" s="1810" t="str">
        <f t="shared" ref="Q25:Q46" si="11">B25</f>
        <v>临街状况</v>
      </c>
      <c r="R25" s="774" t="s">
        <v>17</v>
      </c>
      <c r="S25" s="775">
        <f>F25</f>
        <v>101</v>
      </c>
      <c r="T25" s="774" t="s">
        <v>17</v>
      </c>
      <c r="U25" s="775">
        <f>H25</f>
        <v>101</v>
      </c>
      <c r="V25" s="774" t="s">
        <v>17</v>
      </c>
      <c r="W25" s="775">
        <f>J25</f>
        <v>101</v>
      </c>
      <c r="X25" s="1813"/>
      <c r="Y25" s="3228"/>
      <c r="Z25" s="1814" t="str">
        <f>Q25</f>
        <v>临街状况</v>
      </c>
      <c r="AA25" s="1811">
        <f t="shared" si="3"/>
        <v>0.99009900990099009</v>
      </c>
      <c r="AB25" s="1811">
        <f t="shared" si="4"/>
        <v>0.99009900990099009</v>
      </c>
      <c r="AC25" s="1811">
        <f t="shared" si="5"/>
        <v>0.99009900990099009</v>
      </c>
    </row>
    <row r="26" spans="1:29" ht="15">
      <c r="A26" s="428"/>
      <c r="B26" s="1386" t="s">
        <v>2658</v>
      </c>
      <c r="C26" s="2962" t="s">
        <v>3089</v>
      </c>
      <c r="D26" s="435">
        <v>100</v>
      </c>
      <c r="E26" s="2962" t="s">
        <v>3089</v>
      </c>
      <c r="F26" s="461">
        <f>SUMIF(88:88,E26,89:89)-SUMIF(88:88,C26,89:89)+100</f>
        <v>100</v>
      </c>
      <c r="G26" s="2962" t="s">
        <v>3089</v>
      </c>
      <c r="H26" s="435">
        <f>SUMIF(88:88,G26,89:89)-SUMIF(88:88,C26,89:89)+100</f>
        <v>100</v>
      </c>
      <c r="I26" s="2962" t="s">
        <v>3114</v>
      </c>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228"/>
      <c r="Z26" s="1814" t="str">
        <f>Q26</f>
        <v>平面位置/可视性</v>
      </c>
      <c r="AA26" s="1811">
        <f t="shared" si="3"/>
        <v>1</v>
      </c>
      <c r="AB26" s="1811">
        <f t="shared" si="4"/>
        <v>1</v>
      </c>
      <c r="AC26" s="1811">
        <f t="shared" si="5"/>
        <v>1</v>
      </c>
    </row>
    <row r="27" spans="1:29" s="117" customFormat="1" ht="15">
      <c r="A27" s="431"/>
      <c r="B27" s="451" t="s">
        <v>2659</v>
      </c>
      <c r="C27" s="2669" t="s">
        <v>3080</v>
      </c>
      <c r="D27" s="462">
        <v>100</v>
      </c>
      <c r="E27" s="2669" t="s">
        <v>3080</v>
      </c>
      <c r="F27" s="464">
        <f>SUMIF(90:90,E27,91:91)-SUMIF(90:90,C27,91:91)+100</f>
        <v>100</v>
      </c>
      <c r="G27" s="2669" t="s">
        <v>3080</v>
      </c>
      <c r="H27" s="462">
        <f>SUMIF(90:90,G27,91:91)-SUMIF(90:90,C27,91:91)+100</f>
        <v>100</v>
      </c>
      <c r="I27" s="2669" t="s">
        <v>3080</v>
      </c>
      <c r="J27" s="462">
        <f>SUMIF(90:90,I27,91:91)-SUMIF(90:90,C27,91:91)+100</f>
        <v>100</v>
      </c>
      <c r="K27" s="612">
        <v>2</v>
      </c>
      <c r="L27" s="1132"/>
      <c r="M27" s="1133"/>
      <c r="N27" s="1133"/>
      <c r="O27" s="1133"/>
      <c r="P27" s="3235"/>
      <c r="Q27" s="1795" t="str">
        <f t="shared" si="11"/>
        <v>人流量</v>
      </c>
      <c r="R27" s="770" t="s">
        <v>17</v>
      </c>
      <c r="S27" s="771">
        <f>F27</f>
        <v>100</v>
      </c>
      <c r="T27" s="770" t="s">
        <v>17</v>
      </c>
      <c r="U27" s="771">
        <f>H27</f>
        <v>100</v>
      </c>
      <c r="V27" s="770" t="s">
        <v>17</v>
      </c>
      <c r="W27" s="771">
        <f>J27</f>
        <v>100</v>
      </c>
      <c r="X27" s="772"/>
      <c r="Y27" s="3228"/>
      <c r="Z27" s="55" t="str">
        <f>Q27</f>
        <v>人流量</v>
      </c>
      <c r="AA27" s="1811">
        <f>D27/F27</f>
        <v>1</v>
      </c>
      <c r="AB27" s="1811">
        <f>D27/H27</f>
        <v>1</v>
      </c>
      <c r="AC27" s="1811">
        <f>D27/J27</f>
        <v>1</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22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2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28"/>
      <c r="Z31" s="1814">
        <f t="shared" si="15"/>
        <v>111</v>
      </c>
      <c r="AA31" s="1811">
        <f t="shared" si="3"/>
        <v>1</v>
      </c>
      <c r="AB31" s="1811">
        <f t="shared" si="4"/>
        <v>1</v>
      </c>
      <c r="AC31" s="1811">
        <f t="shared" si="5"/>
        <v>1</v>
      </c>
    </row>
    <row r="32" spans="1:29" ht="15">
      <c r="A32" s="440" t="s">
        <v>2564</v>
      </c>
      <c r="B32" s="3306" t="s">
        <v>2661</v>
      </c>
      <c r="C32" s="2621" t="s">
        <v>3092</v>
      </c>
      <c r="D32" s="467">
        <v>100</v>
      </c>
      <c r="E32" s="2621" t="s">
        <v>3092</v>
      </c>
      <c r="F32" s="461">
        <f>SUMIF(100:100,E32,101:101)-SUMIF(100:100,C32,101:101)+100</f>
        <v>100</v>
      </c>
      <c r="G32" s="2621" t="s">
        <v>3094</v>
      </c>
      <c r="H32" s="435">
        <f>SUMIF(100:100,G32,101:101)-SUMIF(100:100,C32,101:101)+100</f>
        <v>94</v>
      </c>
      <c r="I32" s="2621" t="s">
        <v>3094</v>
      </c>
      <c r="J32" s="467">
        <f>SUMIF(100:100,I32,101:101)-SUMIF(100:100,C32,101:101)+100</f>
        <v>94</v>
      </c>
      <c r="K32" s="612">
        <v>2</v>
      </c>
      <c r="L32" s="1140"/>
      <c r="M32" s="1131"/>
      <c r="N32" s="1131"/>
      <c r="O32" s="1131"/>
      <c r="P32" s="3229" t="s">
        <v>2566</v>
      </c>
      <c r="Q32" s="1810" t="str">
        <f t="shared" si="11"/>
        <v>商业类型</v>
      </c>
      <c r="R32" s="774" t="s">
        <v>17</v>
      </c>
      <c r="S32" s="775">
        <f t="shared" si="12"/>
        <v>100</v>
      </c>
      <c r="T32" s="774" t="s">
        <v>17</v>
      </c>
      <c r="U32" s="775">
        <f t="shared" si="13"/>
        <v>94</v>
      </c>
      <c r="V32" s="774" t="s">
        <v>17</v>
      </c>
      <c r="W32" s="775">
        <f t="shared" si="14"/>
        <v>94</v>
      </c>
      <c r="X32" s="1813"/>
      <c r="Y32" s="3232" t="s">
        <v>2566</v>
      </c>
      <c r="Z32" s="1814" t="str">
        <f t="shared" si="15"/>
        <v>商业类型</v>
      </c>
      <c r="AA32" s="1811">
        <f t="shared" si="3"/>
        <v>1</v>
      </c>
      <c r="AB32" s="1811">
        <f t="shared" si="4"/>
        <v>1.0638297872340425</v>
      </c>
      <c r="AC32" s="1811">
        <f t="shared" si="5"/>
        <v>1.0638297872340425</v>
      </c>
    </row>
    <row r="33" spans="1:29" s="471" customFormat="1" ht="15">
      <c r="A33" s="468"/>
      <c r="B33" s="422" t="s">
        <v>2567</v>
      </c>
      <c r="C33" s="469">
        <f>'数据-汇总表'!E19</f>
        <v>54.79</v>
      </c>
      <c r="D33" s="136">
        <v>100</v>
      </c>
      <c r="E33" s="430">
        <v>25</v>
      </c>
      <c r="F33" s="425">
        <f>LOOKUP(E33,103:103,104:104)-LOOKUP(C33,103:103,104:104)+100</f>
        <v>101</v>
      </c>
      <c r="G33" s="429">
        <v>72</v>
      </c>
      <c r="H33" s="136">
        <f>LOOKUP(G33,103:103,104:104)-LOOKUP(C33,103:103,104:104)+100</f>
        <v>99</v>
      </c>
      <c r="I33" s="429">
        <v>56</v>
      </c>
      <c r="J33" s="136">
        <f>LOOKUP(I33,103:103,104:104)-LOOKUP(C33,103:103,104:104)+100</f>
        <v>100</v>
      </c>
      <c r="K33" s="613"/>
      <c r="L33" s="1138"/>
      <c r="M33" s="1141"/>
      <c r="N33" s="1141"/>
      <c r="O33" s="1141"/>
      <c r="P33" s="3230"/>
      <c r="Q33" s="776" t="str">
        <f t="shared" si="11"/>
        <v>项目建筑规模</v>
      </c>
      <c r="R33" s="777" t="s">
        <v>17</v>
      </c>
      <c r="S33" s="778">
        <f t="shared" si="12"/>
        <v>101</v>
      </c>
      <c r="T33" s="777" t="s">
        <v>17</v>
      </c>
      <c r="U33" s="778">
        <f t="shared" si="13"/>
        <v>99</v>
      </c>
      <c r="V33" s="777" t="s">
        <v>17</v>
      </c>
      <c r="W33" s="778">
        <f t="shared" si="14"/>
        <v>100</v>
      </c>
      <c r="X33" s="779"/>
      <c r="Y33" s="3232"/>
      <c r="Z33" s="780" t="str">
        <f t="shared" si="15"/>
        <v>项目建筑规模</v>
      </c>
      <c r="AA33" s="1811">
        <f t="shared" si="3"/>
        <v>0.99009900990099009</v>
      </c>
      <c r="AB33" s="1811">
        <f t="shared" si="4"/>
        <v>1.0101010101010102</v>
      </c>
      <c r="AC33" s="1811">
        <f t="shared" si="5"/>
        <v>1</v>
      </c>
    </row>
    <row r="34" spans="1:29" ht="15">
      <c r="A34" s="472"/>
      <c r="B34" s="422" t="s">
        <v>2568</v>
      </c>
      <c r="C34" s="2623" t="s">
        <v>3070</v>
      </c>
      <c r="D34" s="435">
        <v>100</v>
      </c>
      <c r="E34" s="2623" t="s">
        <v>3070</v>
      </c>
      <c r="F34" s="461">
        <f>SUMIF(105:105,E34,106:106)-SUMIF(105:105,C34,106:106)+100</f>
        <v>100</v>
      </c>
      <c r="G34" s="2623" t="s">
        <v>3070</v>
      </c>
      <c r="H34" s="435">
        <f>SUMIF(105:105,G34,106:106)-SUMIF(105:105,C34,106:106)+100</f>
        <v>100</v>
      </c>
      <c r="I34" s="2623" t="s">
        <v>3070</v>
      </c>
      <c r="J34" s="435">
        <f>SUMIF(105:105,I34,106:106)-SUMIF(105:105,C34,106:106)+100</f>
        <v>100</v>
      </c>
      <c r="K34" s="612">
        <v>1</v>
      </c>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32"/>
      <c r="Z34" s="1814" t="str">
        <f t="shared" si="15"/>
        <v>建筑结构</v>
      </c>
      <c r="AA34" s="1811">
        <f t="shared" si="3"/>
        <v>1</v>
      </c>
      <c r="AB34" s="1811">
        <f t="shared" si="4"/>
        <v>1</v>
      </c>
      <c r="AC34" s="1811">
        <f t="shared" si="5"/>
        <v>1</v>
      </c>
    </row>
    <row r="35" spans="1:29" ht="15">
      <c r="A35" s="472"/>
      <c r="B35" s="422" t="s">
        <v>2662</v>
      </c>
      <c r="C35" s="2617" t="s">
        <v>3097</v>
      </c>
      <c r="D35" s="435">
        <v>100</v>
      </c>
      <c r="E35" s="2617" t="s">
        <v>3097</v>
      </c>
      <c r="F35" s="461">
        <f>SUMIF(107:107,E35,108:108)-SUMIF(107:107,C35,108:108)+100</f>
        <v>100</v>
      </c>
      <c r="G35" s="2617" t="s">
        <v>3097</v>
      </c>
      <c r="H35" s="435">
        <f>SUMIF(107:107,G35,108:108)-SUMIF(107:107,C35,108:108)+100</f>
        <v>100</v>
      </c>
      <c r="I35" s="3307" t="s">
        <v>3099</v>
      </c>
      <c r="J35" s="435">
        <f>SUMIF(107:107,I35,108:108)-SUMIF(107:107,C35,108:108)+100</f>
        <v>99</v>
      </c>
      <c r="K35" s="612">
        <v>1</v>
      </c>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99</v>
      </c>
      <c r="X35" s="1813"/>
      <c r="Y35" s="3232"/>
      <c r="Z35" s="1814" t="str">
        <f t="shared" si="15"/>
        <v>公共部分装修</v>
      </c>
      <c r="AA35" s="1811">
        <f t="shared" si="3"/>
        <v>1</v>
      </c>
      <c r="AB35" s="1811">
        <f t="shared" si="4"/>
        <v>1</v>
      </c>
      <c r="AC35" s="1811">
        <f t="shared" si="5"/>
        <v>1.0101010101010102</v>
      </c>
    </row>
    <row r="36" spans="1:29" ht="15">
      <c r="A36" s="472"/>
      <c r="B36" s="422" t="s">
        <v>2663</v>
      </c>
      <c r="C36" s="474">
        <f>'数据-取费表'!Y6</f>
        <v>0.95</v>
      </c>
      <c r="D36" s="435">
        <v>100</v>
      </c>
      <c r="E36" s="474">
        <v>0.93</v>
      </c>
      <c r="F36" s="461">
        <f>LOOKUP(E36,110:110,111:111)-LOOKUP(C36,110:110,111:111)+100</f>
        <v>100</v>
      </c>
      <c r="G36" s="474">
        <v>0.93</v>
      </c>
      <c r="H36" s="461">
        <f>LOOKUP(G36,110:110,111:111)-LOOKUP(C36,110:110,111:111)+100</f>
        <v>100</v>
      </c>
      <c r="I36" s="474">
        <v>0.85</v>
      </c>
      <c r="J36" s="435">
        <f>LOOKUP(I36,110:110,111:111)-LOOKUP(C36,110:110,111:111)+100</f>
        <v>98</v>
      </c>
      <c r="K36" s="612">
        <v>2</v>
      </c>
      <c r="L36" s="1140"/>
      <c r="M36" s="1131"/>
      <c r="N36" s="1131"/>
      <c r="O36" s="1131"/>
      <c r="P36" s="3230"/>
      <c r="Q36" s="1810" t="str">
        <f t="shared" si="11"/>
        <v>成新度</v>
      </c>
      <c r="R36" s="774" t="s">
        <v>17</v>
      </c>
      <c r="S36" s="775">
        <f t="shared" si="12"/>
        <v>100</v>
      </c>
      <c r="T36" s="774" t="s">
        <v>17</v>
      </c>
      <c r="U36" s="775">
        <f t="shared" si="13"/>
        <v>100</v>
      </c>
      <c r="V36" s="774" t="s">
        <v>17</v>
      </c>
      <c r="W36" s="775">
        <f t="shared" si="14"/>
        <v>98</v>
      </c>
      <c r="X36" s="1813"/>
      <c r="Y36" s="3232"/>
      <c r="Z36" s="1814" t="str">
        <f t="shared" si="15"/>
        <v>成新度</v>
      </c>
      <c r="AA36" s="1811">
        <f t="shared" si="3"/>
        <v>1</v>
      </c>
      <c r="AB36" s="1811">
        <f t="shared" si="4"/>
        <v>1</v>
      </c>
      <c r="AC36" s="1811">
        <f t="shared" si="5"/>
        <v>1.0204081632653061</v>
      </c>
    </row>
    <row r="37" spans="1:29" s="117" customFormat="1" ht="15">
      <c r="A37" s="473"/>
      <c r="B37" s="422" t="s">
        <v>2664</v>
      </c>
      <c r="C37" s="2617" t="s">
        <v>3081</v>
      </c>
      <c r="D37" s="136">
        <v>100</v>
      </c>
      <c r="E37" s="2617" t="s">
        <v>3081</v>
      </c>
      <c r="F37" s="461">
        <f>SUMIF(112:112,E37,113:113)-SUMIF(112:112,C37,113:113)+100</f>
        <v>100</v>
      </c>
      <c r="G37" s="2617" t="s">
        <v>3081</v>
      </c>
      <c r="H37" s="435">
        <f>SUMIF(112:112,G37,113:113)-SUMIF(112:112,C37,113:113)+100</f>
        <v>100</v>
      </c>
      <c r="I37" s="2617" t="s">
        <v>3081</v>
      </c>
      <c r="J37" s="435">
        <f>SUMIF(112:112,I37,113:113)-SUMIF(112:112,C37,113:113)+100</f>
        <v>100</v>
      </c>
      <c r="K37" s="612">
        <v>1</v>
      </c>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2665</v>
      </c>
      <c r="C38" s="2617" t="s">
        <v>3106</v>
      </c>
      <c r="D38" s="435">
        <v>100</v>
      </c>
      <c r="E38" s="2617" t="s">
        <v>3106</v>
      </c>
      <c r="F38" s="461">
        <f>SUMIF(114:114,E38,115:115)-SUMIF(114:114,C38,115:115)+100</f>
        <v>100</v>
      </c>
      <c r="G38" s="2617" t="s">
        <v>3106</v>
      </c>
      <c r="H38" s="435">
        <f>SUMIF(114:114,G38,115:115)-SUMIF(114:114,C38,115:115)+100</f>
        <v>100</v>
      </c>
      <c r="I38" s="2617" t="s">
        <v>3106</v>
      </c>
      <c r="J38" s="435">
        <f>SUMIF(114:114,I38,115:115)-SUMIF(114:114,C38,115:115)+100</f>
        <v>100</v>
      </c>
      <c r="K38" s="612">
        <v>2</v>
      </c>
      <c r="L38" s="1140"/>
      <c r="M38" s="1131"/>
      <c r="N38" s="1131"/>
      <c r="O38" s="1131"/>
      <c r="P38" s="3230" t="s">
        <v>2566</v>
      </c>
      <c r="Q38" s="1810" t="str">
        <f t="shared" si="11"/>
        <v>业态</v>
      </c>
      <c r="R38" s="774" t="s">
        <v>17</v>
      </c>
      <c r="S38" s="775">
        <f t="shared" si="12"/>
        <v>100</v>
      </c>
      <c r="T38" s="774" t="s">
        <v>17</v>
      </c>
      <c r="U38" s="775">
        <f t="shared" si="13"/>
        <v>100</v>
      </c>
      <c r="V38" s="774" t="s">
        <v>17</v>
      </c>
      <c r="W38" s="775">
        <f t="shared" si="14"/>
        <v>100</v>
      </c>
      <c r="X38" s="1813"/>
      <c r="Y38" s="3232" t="s">
        <v>2566</v>
      </c>
      <c r="Z38" s="1814" t="str">
        <f t="shared" si="15"/>
        <v>业态</v>
      </c>
      <c r="AA38" s="1811">
        <f t="shared" si="3"/>
        <v>1</v>
      </c>
      <c r="AB38" s="1811">
        <f t="shared" si="4"/>
        <v>1</v>
      </c>
      <c r="AC38" s="1811">
        <f t="shared" si="5"/>
        <v>1</v>
      </c>
    </row>
    <row r="39" spans="1:29" ht="15">
      <c r="A39" s="472"/>
      <c r="B39" s="422" t="s">
        <v>2666</v>
      </c>
      <c r="C39" s="2617" t="s">
        <v>3110</v>
      </c>
      <c r="D39" s="435">
        <v>100</v>
      </c>
      <c r="E39" s="2617" t="s">
        <v>3110</v>
      </c>
      <c r="F39" s="461">
        <f>SUMIF(116:116,E39,117:117)-SUMIF(116:116,C39,117:117)+100</f>
        <v>100</v>
      </c>
      <c r="G39" s="2617" t="s">
        <v>3110</v>
      </c>
      <c r="H39" s="435">
        <f>SUMIF(116:116,G39,117:117)-SUMIF(116:116,C39,117:117)+100</f>
        <v>100</v>
      </c>
      <c r="I39" s="2617" t="s">
        <v>3110</v>
      </c>
      <c r="J39" s="435">
        <f>SUMIF(116:116,I39,117:117)-SUMIF(116:116,C39,117:117)+100</f>
        <v>100</v>
      </c>
      <c r="K39" s="612">
        <v>2</v>
      </c>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32"/>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32"/>
      <c r="Z40" s="1814" t="str">
        <f t="shared" si="15"/>
        <v>单套建筑面积</v>
      </c>
      <c r="AA40" s="1811">
        <f t="shared" si="3"/>
        <v>1</v>
      </c>
      <c r="AB40" s="1811">
        <f t="shared" si="4"/>
        <v>1</v>
      </c>
      <c r="AC40" s="1811">
        <f t="shared" si="5"/>
        <v>1</v>
      </c>
    </row>
    <row r="41" spans="1:29" s="471" customFormat="1" ht="15">
      <c r="A41" s="468"/>
      <c r="B41" s="1812" t="s">
        <v>2668</v>
      </c>
      <c r="C41" s="616" t="s">
        <v>3088</v>
      </c>
      <c r="D41" s="435">
        <v>100</v>
      </c>
      <c r="E41" s="616" t="s">
        <v>3088</v>
      </c>
      <c r="F41" s="461">
        <f>SUMIF(120:120,E41,121:121)-SUMIF(120:120,C41,121:121)+100</f>
        <v>100</v>
      </c>
      <c r="G41" s="616" t="s">
        <v>3088</v>
      </c>
      <c r="H41" s="435">
        <f>SUMIF(120:120,G41,121:121)-SUMIF(120:120,C41,121:121)+100</f>
        <v>100</v>
      </c>
      <c r="I41" s="616" t="s">
        <v>3088</v>
      </c>
      <c r="J41" s="435">
        <f>SUMIF(120:120,I41,121:121)-SUMIF(120:120,C41,121:121)+100</f>
        <v>100</v>
      </c>
      <c r="K41" s="612">
        <v>1</v>
      </c>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1">
        <f t="shared" si="3"/>
        <v>1</v>
      </c>
      <c r="AB41" s="1811">
        <f t="shared" si="4"/>
        <v>1</v>
      </c>
      <c r="AC41" s="1811">
        <f t="shared" si="5"/>
        <v>1</v>
      </c>
    </row>
    <row r="42" spans="1:29" ht="15">
      <c r="A42" s="472"/>
      <c r="B42" s="422" t="s">
        <v>2669</v>
      </c>
      <c r="C42" s="2617" t="s">
        <v>3097</v>
      </c>
      <c r="D42" s="435">
        <v>100</v>
      </c>
      <c r="E42" s="2617" t="s">
        <v>3097</v>
      </c>
      <c r="F42" s="461">
        <f>SUMIF(122:122,E42,123:123)-SUMIF(122:122,C42,123:123)+100</f>
        <v>100</v>
      </c>
      <c r="G42" s="2617" t="s">
        <v>3120</v>
      </c>
      <c r="H42" s="435">
        <f>SUMIF(122:122,G42,123:123)-SUMIF(122:122,C42,123:123)+100</f>
        <v>94</v>
      </c>
      <c r="I42" s="2617" t="s">
        <v>3099</v>
      </c>
      <c r="J42" s="435">
        <f>SUMIF(122:122,I42,123:123)-SUMIF(122:122,C42,123:123)+100</f>
        <v>98</v>
      </c>
      <c r="K42" s="612">
        <v>2</v>
      </c>
      <c r="L42" s="1140"/>
      <c r="M42" s="1131"/>
      <c r="N42" s="1131"/>
      <c r="O42" s="1131"/>
      <c r="P42" s="3230"/>
      <c r="Q42" s="1810" t="str">
        <f t="shared" si="11"/>
        <v>内部装修</v>
      </c>
      <c r="R42" s="774" t="s">
        <v>17</v>
      </c>
      <c r="S42" s="775">
        <f t="shared" si="12"/>
        <v>100</v>
      </c>
      <c r="T42" s="774" t="s">
        <v>17</v>
      </c>
      <c r="U42" s="775">
        <f t="shared" si="13"/>
        <v>94</v>
      </c>
      <c r="V42" s="774" t="s">
        <v>17</v>
      </c>
      <c r="W42" s="775">
        <f t="shared" si="14"/>
        <v>98</v>
      </c>
      <c r="X42" s="1813"/>
      <c r="Y42" s="3232"/>
      <c r="Z42" s="1814" t="str">
        <f t="shared" si="15"/>
        <v>内部装修</v>
      </c>
      <c r="AA42" s="1811">
        <f t="shared" si="3"/>
        <v>1</v>
      </c>
      <c r="AB42" s="1811">
        <f t="shared" si="4"/>
        <v>1.0638297872340425</v>
      </c>
      <c r="AC42" s="1811">
        <f t="shared" si="5"/>
        <v>1.0204081632653061</v>
      </c>
    </row>
    <row r="43" spans="1:29" ht="15">
      <c r="A43" s="472"/>
      <c r="B43" s="422" t="s">
        <v>2577</v>
      </c>
      <c r="C43" s="2617" t="s">
        <v>3088</v>
      </c>
      <c r="D43" s="435">
        <v>100</v>
      </c>
      <c r="E43" s="2617" t="s">
        <v>3088</v>
      </c>
      <c r="F43" s="461">
        <f>SUMIF(124:124,E43,125:125)-SUMIF(124:124,C43,125:125)+100</f>
        <v>100</v>
      </c>
      <c r="G43" s="2617" t="s">
        <v>3079</v>
      </c>
      <c r="H43" s="435">
        <f>SUMIF(124:124,G43,125:125)-SUMIF(124:124,C43,125:125)+100</f>
        <v>99</v>
      </c>
      <c r="I43" s="2617" t="s">
        <v>3088</v>
      </c>
      <c r="J43" s="435">
        <f>SUMIF(124:124,I43,125:125)-SUMIF(124:124,C43,125:125)+100</f>
        <v>100</v>
      </c>
      <c r="K43" s="612">
        <v>1</v>
      </c>
      <c r="L43" s="1140"/>
      <c r="M43" s="1131"/>
      <c r="N43" s="1131"/>
      <c r="O43" s="1131"/>
      <c r="P43" s="3230"/>
      <c r="Q43" s="1810" t="str">
        <f t="shared" si="11"/>
        <v>内部装修维护情况</v>
      </c>
      <c r="R43" s="774" t="s">
        <v>17</v>
      </c>
      <c r="S43" s="775">
        <f t="shared" si="12"/>
        <v>100</v>
      </c>
      <c r="T43" s="774" t="s">
        <v>17</v>
      </c>
      <c r="U43" s="775">
        <f t="shared" si="13"/>
        <v>99</v>
      </c>
      <c r="V43" s="774" t="s">
        <v>17</v>
      </c>
      <c r="W43" s="775">
        <f t="shared" si="14"/>
        <v>100</v>
      </c>
      <c r="X43" s="1813"/>
      <c r="Y43" s="3232"/>
      <c r="Z43" s="1814" t="str">
        <f t="shared" si="15"/>
        <v>内部装修维护情况</v>
      </c>
      <c r="AA43" s="1811">
        <f t="shared" si="3"/>
        <v>1</v>
      </c>
      <c r="AB43" s="1811">
        <f t="shared" si="4"/>
        <v>1.0101010101010102</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32"/>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3"/>
      <c r="Z46" s="1814">
        <f t="shared" si="15"/>
        <v>111</v>
      </c>
      <c r="AA46" s="1811">
        <f t="shared" si="3"/>
        <v>1</v>
      </c>
      <c r="AB46" s="1811">
        <f t="shared" si="4"/>
        <v>1</v>
      </c>
      <c r="AC46" s="1811">
        <f t="shared" si="5"/>
        <v>1</v>
      </c>
    </row>
    <row r="47" spans="1:29" ht="15">
      <c r="A47" s="479" t="s">
        <v>2578</v>
      </c>
      <c r="B47" s="480"/>
      <c r="C47" s="1407" t="s">
        <v>1</v>
      </c>
      <c r="D47" s="1408"/>
      <c r="E47" s="1409">
        <v>32000</v>
      </c>
      <c r="F47" s="1410"/>
      <c r="G47" s="1411">
        <v>30000</v>
      </c>
      <c r="H47" s="1412"/>
      <c r="I47" s="1409">
        <v>31785</v>
      </c>
      <c r="J47" s="1412"/>
      <c r="K47" s="783"/>
      <c r="L47" s="1143"/>
      <c r="M47" s="1144"/>
      <c r="N47" s="1131"/>
      <c r="O47" s="1144"/>
      <c r="P47" s="3225" t="str">
        <f>A47</f>
        <v>成交单价（元/平方米）</v>
      </c>
      <c r="Q47" s="3225"/>
      <c r="R47" s="3220">
        <f>E47</f>
        <v>32000</v>
      </c>
      <c r="S47" s="3220"/>
      <c r="T47" s="3220">
        <f>G47</f>
        <v>30000</v>
      </c>
      <c r="U47" s="3220"/>
      <c r="V47" s="3220">
        <f>I47</f>
        <v>31785</v>
      </c>
      <c r="W47" s="3220"/>
      <c r="X47" s="759"/>
      <c r="Y47" s="781"/>
      <c r="Z47" s="759"/>
      <c r="AA47" s="759"/>
      <c r="AB47" s="759"/>
      <c r="AC47" s="759"/>
    </row>
    <row r="48" spans="1:29" ht="15.75" thickBot="1">
      <c r="A48" s="486" t="s">
        <v>2670</v>
      </c>
      <c r="B48" s="487"/>
      <c r="C48" s="1413">
        <f>R49</f>
        <v>33291</v>
      </c>
      <c r="D48" s="1414"/>
      <c r="E48" s="1415">
        <f>R48</f>
        <v>31369</v>
      </c>
      <c r="F48" s="1415"/>
      <c r="G48" s="1413">
        <f>T48</f>
        <v>33293</v>
      </c>
      <c r="H48" s="1414"/>
      <c r="I48" s="1415">
        <f>V48</f>
        <v>35212</v>
      </c>
      <c r="J48" s="1414"/>
      <c r="K48" s="784"/>
      <c r="L48" s="1143"/>
      <c r="M48" s="1144"/>
      <c r="N48" s="1131"/>
      <c r="O48" s="1144"/>
      <c r="P48" s="3225" t="str">
        <f>A48</f>
        <v>比较价值（元/平方米）</v>
      </c>
      <c r="Q48" s="3225"/>
      <c r="R48" s="3226">
        <f>IF(F1="售价",ROUND(PRODUCT(R47,AA7:AA46),0),ROUND(PRODUCT(R47,AA7:AA46),1))</f>
        <v>31369</v>
      </c>
      <c r="S48" s="3226"/>
      <c r="T48" s="3226">
        <f>IF(F1="售价",ROUND(PRODUCT(T47,AB7:AB46),0),ROUND(PRODUCT(T47,AB7:AB46),1))</f>
        <v>33293</v>
      </c>
      <c r="U48" s="3226"/>
      <c r="V48" s="3226">
        <f>IF(F1="售价",ROUND(PRODUCT(V47,AC7:AC46),0),ROUND(PRODUCT(V47,AC7:AC46),1))</f>
        <v>35212</v>
      </c>
      <c r="W48" s="3226"/>
      <c r="X48" s="759"/>
      <c r="Y48" s="759"/>
      <c r="Z48" s="759"/>
      <c r="AA48" s="759"/>
      <c r="AB48" s="759"/>
      <c r="AC48" s="759"/>
    </row>
    <row r="49" spans="1:29" ht="15.75" thickBot="1">
      <c r="A49" s="492" t="s">
        <v>2671</v>
      </c>
      <c r="B49" s="493"/>
      <c r="C49" s="1417">
        <f>R49</f>
        <v>33291</v>
      </c>
      <c r="D49" s="1417"/>
      <c r="E49" s="1417"/>
      <c r="F49" s="1417"/>
      <c r="G49" s="1417"/>
      <c r="H49" s="1417"/>
      <c r="I49" s="1417"/>
      <c r="J49" s="1417"/>
      <c r="K49" s="785"/>
      <c r="L49" s="1143"/>
      <c r="M49" s="1144"/>
      <c r="N49" s="1131"/>
      <c r="O49" s="1144"/>
      <c r="P49" s="3222" t="str">
        <f>A49</f>
        <v>估价对象XX用房的比较价值（楼面单价，元/平方米）</v>
      </c>
      <c r="Q49" s="3223"/>
      <c r="R49" s="3224">
        <f>IF(F1="售价",ROUND(AVERAGE(R48:V48),0),ROUND(AVERAGE(R48:V48),1))</f>
        <v>33291</v>
      </c>
      <c r="S49" s="3224"/>
      <c r="T49" s="3224"/>
      <c r="U49" s="3224"/>
      <c r="V49" s="3224"/>
      <c r="W49" s="32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f>IF(E47&lt;E48,E48/E47-1,E47/E48-1)</f>
        <v>2.0115400554687746E-2</v>
      </c>
      <c r="F52" s="500" t="str">
        <f>IF(OR(E52&gt;=0.3,E52&lt;=-0.3),"超过30%","")</f>
        <v/>
      </c>
      <c r="G52" s="499">
        <f>IF(G47&lt;G48,G48/G47-1,G47/G48-1)</f>
        <v>0.10976666666666657</v>
      </c>
      <c r="H52" s="500" t="str">
        <f>IF(OR(G52&gt;=0.3,G52&lt;=-0.3),"超过30%","")</f>
        <v/>
      </c>
      <c r="I52" s="499">
        <f>IF(I47&lt;I48,I48/I47-1,I47/I48-1)</f>
        <v>0.10781815321692623</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f>IF(E48&lt;G48,G48/E48-1,E48/G48-1)</f>
        <v>6.1334438458350515E-2</v>
      </c>
      <c r="F53" s="500" t="str">
        <f>IF(OR(E53&gt;=0.2,E53&lt;=-0.2),"超过20%","")</f>
        <v/>
      </c>
      <c r="G53" s="499">
        <f>IF(G48&lt;I48,I48/G48-1,G48/I48-1)</f>
        <v>5.7639744090349332E-2</v>
      </c>
      <c r="H53" s="500" t="str">
        <f>IF(OR(G53&gt;=0.2,G53&lt;=-0.2),"超过20%","")</f>
        <v/>
      </c>
      <c r="I53" s="499">
        <f>IF(I48&lt;E48,E48/I48-1,I48/E48-1)</f>
        <v>0.12250948388536442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f>IF(E47&lt;G47,G47/E47-1,E47/G47-1)</f>
        <v>6.6666666666666652E-2</v>
      </c>
      <c r="F54" s="500" t="str">
        <f>IF(OR(E54&gt;=0.3,E54&lt;=-0.3),"超过30%","")</f>
        <v/>
      </c>
      <c r="G54" s="499">
        <f>IF(G47&lt;I47,I47/G47-1,G47/I47-1)</f>
        <v>5.9500000000000108E-2</v>
      </c>
      <c r="H54" s="500" t="str">
        <f>IF(OR(G54&gt;=0.3,G54&lt;=-0.3),"超过30%","")</f>
        <v/>
      </c>
      <c r="I54" s="499">
        <f>IF(I47&lt;E47,E47/I47-1,I47/E47-1)</f>
        <v>6.7641969482459263E-3</v>
      </c>
      <c r="J54" s="500" t="str">
        <f>IF(OR(I54&gt;=0.3,I54&lt;=-0.3),"超过30%","")</f>
        <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2549</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t="str">
        <f>C9</f>
        <v>商业</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4"/>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v>0</v>
      </c>
      <c r="D68" s="549">
        <v>1</v>
      </c>
      <c r="E68" s="549">
        <v>2</v>
      </c>
      <c r="F68" s="549">
        <v>3</v>
      </c>
      <c r="G68" s="549">
        <v>4</v>
      </c>
      <c r="H68" s="549">
        <v>5</v>
      </c>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4"/>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4"/>
      <c r="Q85" s="504"/>
    </row>
    <row r="86" spans="1:17" s="117" customFormat="1" ht="15.75" thickTop="1">
      <c r="A86" s="579"/>
      <c r="B86" s="538" t="s">
        <v>2681</v>
      </c>
      <c r="C86" s="2959" t="s">
        <v>3082</v>
      </c>
      <c r="D86" s="2959" t="s">
        <v>3083</v>
      </c>
      <c r="E86" s="2959" t="s">
        <v>3085</v>
      </c>
      <c r="F86" s="2959" t="s">
        <v>3087</v>
      </c>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4"/>
      <c r="Q87" s="504"/>
    </row>
    <row r="88" spans="1:17" s="117" customFormat="1" ht="15.75" thickTop="1">
      <c r="A88" s="579"/>
      <c r="B88" s="538" t="str">
        <f>B26</f>
        <v>平面位置/可视性</v>
      </c>
      <c r="C88" s="2959" t="s">
        <v>3089</v>
      </c>
      <c r="D88" s="2959" t="s">
        <v>3090</v>
      </c>
      <c r="E88" s="2959" t="s">
        <v>3091</v>
      </c>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2959" t="s">
        <v>3089</v>
      </c>
      <c r="D90" s="2959" t="s">
        <v>3090</v>
      </c>
      <c r="E90" s="2959" t="s">
        <v>3091</v>
      </c>
      <c r="F90" s="554"/>
      <c r="G90" s="554"/>
      <c r="H90" s="555"/>
      <c r="I90" s="555"/>
      <c r="J90" s="555"/>
      <c r="K90" s="555"/>
      <c r="L90" s="556"/>
      <c r="M90" s="557"/>
      <c r="N90" s="1154"/>
      <c r="O90" s="1154"/>
      <c r="P90" s="2635"/>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5"/>
      <c r="Q91" s="559"/>
    </row>
    <row r="92" spans="1:17" ht="15.75" thickTop="1">
      <c r="A92" s="534"/>
      <c r="B92" s="538" t="str">
        <f>B28</f>
        <v>楼层</v>
      </c>
      <c r="C92" s="554">
        <v>1</v>
      </c>
      <c r="D92" s="554"/>
      <c r="E92" s="554"/>
      <c r="F92" s="554"/>
      <c r="G92" s="554"/>
      <c r="H92" s="554"/>
      <c r="I92" s="554"/>
      <c r="J92" s="554"/>
      <c r="K92" s="554"/>
      <c r="L92" s="580"/>
      <c r="M92" s="581"/>
      <c r="N92" s="1152"/>
      <c r="O92" s="1152"/>
      <c r="P92" s="2634"/>
      <c r="Q92" s="504"/>
    </row>
    <row r="93" spans="1:17" ht="15.75" thickBot="1">
      <c r="A93" s="534"/>
      <c r="B93" s="543"/>
      <c r="C93" s="536">
        <v>100</v>
      </c>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2564</v>
      </c>
      <c r="B100" s="528" t="s">
        <v>2682</v>
      </c>
      <c r="C100" s="2960" t="s">
        <v>3093</v>
      </c>
      <c r="D100" s="530"/>
      <c r="E100" s="530"/>
      <c r="F100" s="2960" t="s">
        <v>3095</v>
      </c>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4"/>
      <c r="Q101" s="504"/>
    </row>
    <row r="102" spans="1:17" ht="29.25" thickTop="1">
      <c r="A102" s="534"/>
      <c r="B102" s="538" t="s">
        <v>2614</v>
      </c>
      <c r="C102" s="578" t="str">
        <f>C103&amp;"(含)"&amp;"-"&amp;D103</f>
        <v>0(含)-50</v>
      </c>
      <c r="D102" s="578" t="str">
        <f t="shared" ref="D102:L102" si="23">D103&amp;"(含)"&amp;"-"&amp;E103</f>
        <v>50(含)-70</v>
      </c>
      <c r="E102" s="578" t="str">
        <f t="shared" si="23"/>
        <v>70(含)-100</v>
      </c>
      <c r="F102" s="578" t="str">
        <f t="shared" si="23"/>
        <v>100(含)-200</v>
      </c>
      <c r="G102" s="578" t="str">
        <f t="shared" si="23"/>
        <v>200(含)-500</v>
      </c>
      <c r="H102" s="578" t="str">
        <f t="shared" si="23"/>
        <v>500(含)-1000</v>
      </c>
      <c r="I102" s="578" t="str">
        <f t="shared" si="23"/>
        <v>1000(含)-2000</v>
      </c>
      <c r="J102" s="578" t="str">
        <f t="shared" si="23"/>
        <v>2000(含)-5000</v>
      </c>
      <c r="K102" s="578" t="str">
        <f t="shared" si="23"/>
        <v>5000(含)-10000</v>
      </c>
      <c r="L102" s="578" t="str">
        <f t="shared" si="23"/>
        <v>10000(含)-20000</v>
      </c>
      <c r="M102" s="622" t="str">
        <f>M103&amp;"(含)"&amp;"-"&amp;P103</f>
        <v>20000(含)-</v>
      </c>
      <c r="N102" s="1151"/>
      <c r="O102" s="1151"/>
      <c r="P102" s="2634"/>
      <c r="Q102" s="504"/>
    </row>
    <row r="103" spans="1:17" s="471" customFormat="1">
      <c r="A103" s="593"/>
      <c r="B103" s="594"/>
      <c r="C103" s="595">
        <v>0</v>
      </c>
      <c r="D103" s="595">
        <v>50</v>
      </c>
      <c r="E103" s="595">
        <v>70</v>
      </c>
      <c r="F103" s="595">
        <v>100</v>
      </c>
      <c r="G103" s="595">
        <v>200</v>
      </c>
      <c r="H103" s="595">
        <v>500</v>
      </c>
      <c r="I103" s="595">
        <v>1000</v>
      </c>
      <c r="J103" s="596">
        <v>2000</v>
      </c>
      <c r="K103" s="596">
        <v>5000</v>
      </c>
      <c r="L103" s="597">
        <v>10000</v>
      </c>
      <c r="M103" s="598">
        <v>20000</v>
      </c>
      <c r="N103" s="1154"/>
      <c r="O103" s="1154"/>
      <c r="P103" s="2635"/>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3"/>
      <c r="O104" s="1153"/>
      <c r="P104" s="2635"/>
      <c r="Q104" s="559"/>
    </row>
    <row r="105" spans="1:17" ht="15" thickTop="1">
      <c r="A105" s="599"/>
      <c r="B105" s="538" t="s">
        <v>2615</v>
      </c>
      <c r="C105" s="2959" t="s">
        <v>3096</v>
      </c>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4"/>
      <c r="Q106" s="504"/>
    </row>
    <row r="107" spans="1:17" ht="15" thickTop="1">
      <c r="A107" s="599"/>
      <c r="B107" s="538" t="s">
        <v>2617</v>
      </c>
      <c r="C107" s="2959" t="s">
        <v>3098</v>
      </c>
      <c r="D107" s="2959" t="s">
        <v>3100</v>
      </c>
      <c r="E107" s="2959" t="s">
        <v>3101</v>
      </c>
      <c r="F107" s="2961" t="s">
        <v>3102</v>
      </c>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4"/>
      <c r="Q111" s="504"/>
    </row>
    <row r="112" spans="1:17" s="471" customFormat="1" ht="15" thickTop="1">
      <c r="A112" s="593"/>
      <c r="B112" s="538" t="s">
        <v>2619</v>
      </c>
      <c r="C112" s="2959" t="s">
        <v>3103</v>
      </c>
      <c r="D112" s="2959" t="s">
        <v>3104</v>
      </c>
      <c r="E112" s="2959" t="s">
        <v>3105</v>
      </c>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5"/>
      <c r="Q113" s="559"/>
    </row>
    <row r="114" spans="1:17" ht="15" thickTop="1">
      <c r="A114" s="599"/>
      <c r="B114" s="538" t="s">
        <v>2683</v>
      </c>
      <c r="C114" s="2959" t="s">
        <v>3107</v>
      </c>
      <c r="D114" s="2959" t="s">
        <v>3108</v>
      </c>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4"/>
      <c r="Q115" s="504"/>
    </row>
    <row r="116" spans="1:17" ht="15" thickTop="1">
      <c r="A116" s="599"/>
      <c r="B116" s="538" t="s">
        <v>2684</v>
      </c>
      <c r="C116" s="2959" t="s">
        <v>3109</v>
      </c>
      <c r="D116" s="2959" t="s">
        <v>3111</v>
      </c>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4"/>
      <c r="Q117" s="504"/>
    </row>
    <row r="118" spans="1:17" ht="15" thickTop="1">
      <c r="A118" s="599"/>
      <c r="B118" s="538" t="s">
        <v>2685</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2686</v>
      </c>
      <c r="C120" s="2961" t="s">
        <v>3089</v>
      </c>
      <c r="D120" s="2961" t="s">
        <v>3090</v>
      </c>
      <c r="E120" s="2961" t="s">
        <v>3091</v>
      </c>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5"/>
      <c r="Q121" s="559"/>
    </row>
    <row r="122" spans="1:17" ht="15" thickTop="1">
      <c r="A122" s="599"/>
      <c r="B122" s="538" t="s">
        <v>2621</v>
      </c>
      <c r="C122" s="2959" t="s">
        <v>3098</v>
      </c>
      <c r="D122" s="2959" t="s">
        <v>3100</v>
      </c>
      <c r="E122" s="2959" t="s">
        <v>3101</v>
      </c>
      <c r="F122" s="2961" t="s">
        <v>3112</v>
      </c>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2687</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36535.62999999999</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44" t="s">
        <v>2652</v>
      </c>
      <c r="Q4" s="3245"/>
      <c r="R4" s="3239" t="s">
        <v>2648</v>
      </c>
      <c r="S4" s="3240"/>
      <c r="T4" s="3239" t="s">
        <v>2649</v>
      </c>
      <c r="U4" s="3240"/>
      <c r="V4" s="3248" t="s">
        <v>2650</v>
      </c>
      <c r="W4" s="3248"/>
      <c r="X4" s="2674"/>
      <c r="Y4" s="3239" t="s">
        <v>2652</v>
      </c>
      <c r="Z4" s="3240"/>
      <c r="AA4" s="3238" t="s">
        <v>2648</v>
      </c>
      <c r="AB4" s="3238" t="s">
        <v>2649</v>
      </c>
      <c r="AC4" s="3241" t="s">
        <v>2650</v>
      </c>
    </row>
    <row r="5" spans="1:29" ht="15">
      <c r="A5" s="404"/>
      <c r="B5" s="405"/>
      <c r="C5" s="3201" t="s">
        <v>2543</v>
      </c>
      <c r="D5" s="3202"/>
      <c r="E5" s="3199" t="s">
        <v>2544</v>
      </c>
      <c r="F5" s="3200"/>
      <c r="G5" s="3201" t="s">
        <v>2545</v>
      </c>
      <c r="H5" s="3202"/>
      <c r="I5" s="3201" t="s">
        <v>2546</v>
      </c>
      <c r="J5" s="3202"/>
      <c r="K5" s="610"/>
      <c r="L5" s="1130"/>
      <c r="M5" s="1131"/>
      <c r="N5" s="1131"/>
      <c r="O5" s="1131"/>
      <c r="P5" s="3246"/>
      <c r="Q5" s="3215"/>
      <c r="R5" s="3197"/>
      <c r="S5" s="3198"/>
      <c r="T5" s="3197"/>
      <c r="U5" s="3198"/>
      <c r="V5" s="3220"/>
      <c r="W5" s="3220"/>
      <c r="X5" s="1813"/>
      <c r="Y5" s="3197"/>
      <c r="Z5" s="3198"/>
      <c r="AA5" s="3191"/>
      <c r="AB5" s="3191"/>
      <c r="AC5" s="3242"/>
    </row>
    <row r="6" spans="1:29" ht="15.75" thickBot="1">
      <c r="A6" s="406"/>
      <c r="B6" s="407"/>
      <c r="C6" s="3203" t="s">
        <v>2547</v>
      </c>
      <c r="D6" s="3204"/>
      <c r="E6" s="3205" t="s">
        <v>2547</v>
      </c>
      <c r="F6" s="3206"/>
      <c r="G6" s="3203" t="s">
        <v>2547</v>
      </c>
      <c r="H6" s="3204"/>
      <c r="I6" s="3203" t="s">
        <v>2547</v>
      </c>
      <c r="J6" s="3204"/>
      <c r="K6" s="610" t="s">
        <v>2548</v>
      </c>
      <c r="L6" s="1130"/>
      <c r="M6" s="1131"/>
      <c r="N6" s="1131"/>
      <c r="O6" s="1131"/>
      <c r="P6" s="3247"/>
      <c r="Q6" s="3217"/>
      <c r="R6" s="3197"/>
      <c r="S6" s="3198"/>
      <c r="T6" s="3218"/>
      <c r="U6" s="3219"/>
      <c r="V6" s="3220"/>
      <c r="W6" s="3220"/>
      <c r="X6" s="1813"/>
      <c r="Y6" s="3218"/>
      <c r="Z6" s="3219"/>
      <c r="AA6" s="3192"/>
      <c r="AB6" s="3192"/>
      <c r="AC6" s="3243"/>
    </row>
    <row r="7" spans="1:29" s="117" customFormat="1" ht="15.75" thickBot="1">
      <c r="A7" s="408" t="s">
        <v>2549</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2561</v>
      </c>
      <c r="Q15" s="1810" t="str">
        <f t="shared" si="6"/>
        <v>办公集聚程度</v>
      </c>
      <c r="R15" s="774" t="s">
        <v>17</v>
      </c>
      <c r="S15" s="775">
        <f t="shared" si="0"/>
        <v>100</v>
      </c>
      <c r="T15" s="774" t="s">
        <v>17</v>
      </c>
      <c r="U15" s="775">
        <f t="shared" si="1"/>
        <v>100</v>
      </c>
      <c r="V15" s="774" t="s">
        <v>17</v>
      </c>
      <c r="W15" s="775">
        <f t="shared" si="2"/>
        <v>100</v>
      </c>
      <c r="X15" s="1813"/>
      <c r="Y15" s="3227" t="s">
        <v>2561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35"/>
      <c r="Q16" s="1810"/>
      <c r="R16" s="774"/>
      <c r="S16" s="775"/>
      <c r="T16" s="774"/>
      <c r="U16" s="775"/>
      <c r="V16" s="774"/>
      <c r="W16" s="775"/>
      <c r="X16" s="1813"/>
      <c r="Y16" s="3228"/>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35"/>
      <c r="Q18" s="1810"/>
      <c r="R18" s="774"/>
      <c r="S18" s="775"/>
      <c r="T18" s="774"/>
      <c r="U18" s="775"/>
      <c r="V18" s="774"/>
      <c r="W18" s="775"/>
      <c r="X18" s="1813"/>
      <c r="Y18" s="3228"/>
      <c r="Z18" s="1814"/>
      <c r="AA18" s="1811">
        <v>1</v>
      </c>
      <c r="AB18" s="1811">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228"/>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35"/>
      <c r="Q20" s="1810"/>
      <c r="R20" s="774"/>
      <c r="S20" s="775"/>
      <c r="T20" s="774"/>
      <c r="U20" s="775"/>
      <c r="V20" s="774"/>
      <c r="W20" s="775"/>
      <c r="X20" s="1813"/>
      <c r="Y20" s="3228"/>
      <c r="Z20" s="1814"/>
      <c r="AA20" s="1811">
        <v>1</v>
      </c>
      <c r="AB20" s="1811">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35"/>
      <c r="Q22" s="1810"/>
      <c r="R22" s="774"/>
      <c r="S22" s="775"/>
      <c r="T22" s="774"/>
      <c r="U22" s="775"/>
      <c r="V22" s="774"/>
      <c r="W22" s="775"/>
      <c r="X22" s="1813"/>
      <c r="Y22" s="3228"/>
      <c r="Z22" s="1814"/>
      <c r="AA22" s="1811">
        <v>1</v>
      </c>
      <c r="AB22" s="1811">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10" t="str">
        <f>B23</f>
        <v>环境质量</v>
      </c>
      <c r="R23" s="774" t="s">
        <v>17</v>
      </c>
      <c r="S23" s="775">
        <f>F23</f>
        <v>100</v>
      </c>
      <c r="T23" s="774" t="s">
        <v>17</v>
      </c>
      <c r="U23" s="775">
        <f>H23</f>
        <v>100</v>
      </c>
      <c r="V23" s="774" t="s">
        <v>17</v>
      </c>
      <c r="W23" s="775">
        <f>J23</f>
        <v>100</v>
      </c>
      <c r="X23" s="1813"/>
      <c r="Y23" s="3228"/>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35"/>
      <c r="Q24" s="1810"/>
      <c r="R24" s="774"/>
      <c r="S24" s="775"/>
      <c r="T24" s="774"/>
      <c r="U24" s="775"/>
      <c r="V24" s="774"/>
      <c r="W24" s="775"/>
      <c r="X24" s="1813"/>
      <c r="Y24" s="3228"/>
      <c r="Z24" s="1814"/>
      <c r="AA24" s="1811">
        <v>1</v>
      </c>
      <c r="AB24" s="1811">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35"/>
      <c r="Q25" s="1810" t="str">
        <f>B25</f>
        <v>毗邻道路的类型与等级</v>
      </c>
      <c r="R25" s="774" t="s">
        <v>17</v>
      </c>
      <c r="S25" s="775">
        <f>F25</f>
        <v>100</v>
      </c>
      <c r="T25" s="774" t="s">
        <v>17</v>
      </c>
      <c r="U25" s="775">
        <f>H25</f>
        <v>100</v>
      </c>
      <c r="V25" s="774" t="s">
        <v>17</v>
      </c>
      <c r="W25" s="775">
        <f>J25</f>
        <v>100</v>
      </c>
      <c r="X25" s="1813"/>
      <c r="Y25" s="3228"/>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35"/>
      <c r="Q26" s="1810"/>
      <c r="R26" s="774"/>
      <c r="S26" s="775"/>
      <c r="T26" s="774"/>
      <c r="U26" s="775"/>
      <c r="V26" s="774"/>
      <c r="W26" s="775"/>
      <c r="X26" s="1813"/>
      <c r="Y26" s="3228"/>
      <c r="Z26" s="1814"/>
      <c r="AA26" s="1811">
        <v>1</v>
      </c>
      <c r="AB26" s="1811">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10" t="str">
        <f t="shared" ref="Q27:Q47" si="11">B27</f>
        <v>楼层</v>
      </c>
      <c r="R27" s="774" t="s">
        <v>17</v>
      </c>
      <c r="S27" s="775">
        <f>F27</f>
        <v>100</v>
      </c>
      <c r="T27" s="774" t="s">
        <v>17</v>
      </c>
      <c r="U27" s="775">
        <f>H27</f>
        <v>100</v>
      </c>
      <c r="V27" s="774" t="s">
        <v>17</v>
      </c>
      <c r="W27" s="775">
        <f>J27</f>
        <v>100</v>
      </c>
      <c r="X27" s="1813"/>
      <c r="Y27" s="3228"/>
      <c r="Z27" s="1814" t="str">
        <f>Q27</f>
        <v>楼层</v>
      </c>
      <c r="AA27" s="1811">
        <f t="shared" si="3"/>
        <v>1</v>
      </c>
      <c r="AB27" s="1811">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35"/>
      <c r="Q28" s="1795" t="str">
        <f t="shared" si="11"/>
        <v>朝向</v>
      </c>
      <c r="R28" s="770" t="s">
        <v>17</v>
      </c>
      <c r="S28" s="771">
        <f>F28</f>
        <v>100</v>
      </c>
      <c r="T28" s="770" t="s">
        <v>17</v>
      </c>
      <c r="U28" s="771">
        <f>H28</f>
        <v>100</v>
      </c>
      <c r="V28" s="770" t="s">
        <v>17</v>
      </c>
      <c r="W28" s="771">
        <f>J28</f>
        <v>100</v>
      </c>
      <c r="X28" s="772"/>
      <c r="Y28" s="3228"/>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35"/>
      <c r="Q29" s="1810">
        <f t="shared" si="11"/>
        <v>111</v>
      </c>
      <c r="R29" s="774" t="s">
        <v>17</v>
      </c>
      <c r="S29" s="775">
        <f t="shared" ref="S29:S47" si="12">F29</f>
        <v>100</v>
      </c>
      <c r="T29" s="774" t="s">
        <v>17</v>
      </c>
      <c r="U29" s="775">
        <f t="shared" ref="U29:U47" si="13">H29</f>
        <v>100</v>
      </c>
      <c r="V29" s="774" t="s">
        <v>17</v>
      </c>
      <c r="W29" s="775">
        <f t="shared" ref="W29:W47" si="14">J29</f>
        <v>100</v>
      </c>
      <c r="X29" s="1813"/>
      <c r="Y29" s="3228"/>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28"/>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28"/>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35"/>
      <c r="Q32" s="1810">
        <f t="shared" si="11"/>
        <v>111</v>
      </c>
      <c r="R32" s="774" t="s">
        <v>17</v>
      </c>
      <c r="S32" s="775">
        <f t="shared" si="12"/>
        <v>100</v>
      </c>
      <c r="T32" s="774" t="s">
        <v>17</v>
      </c>
      <c r="U32" s="775">
        <f t="shared" si="13"/>
        <v>100</v>
      </c>
      <c r="V32" s="774" t="s">
        <v>17</v>
      </c>
      <c r="W32" s="775">
        <f t="shared" si="14"/>
        <v>100</v>
      </c>
      <c r="X32" s="1813"/>
      <c r="Y32" s="3228"/>
      <c r="Z32" s="1814">
        <f t="shared" si="15"/>
        <v>111</v>
      </c>
      <c r="AA32" s="1811">
        <f t="shared" si="3"/>
        <v>1</v>
      </c>
      <c r="AB32" s="1811">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29" t="s">
        <v>2566</v>
      </c>
      <c r="Q33" s="1810" t="str">
        <f t="shared" si="11"/>
        <v>建筑类型</v>
      </c>
      <c r="R33" s="774" t="s">
        <v>17</v>
      </c>
      <c r="S33" s="775">
        <f t="shared" si="12"/>
        <v>100</v>
      </c>
      <c r="T33" s="774" t="s">
        <v>17</v>
      </c>
      <c r="U33" s="775">
        <f t="shared" si="13"/>
        <v>100</v>
      </c>
      <c r="V33" s="774" t="s">
        <v>17</v>
      </c>
      <c r="W33" s="775">
        <f t="shared" si="14"/>
        <v>100</v>
      </c>
      <c r="X33" s="1813"/>
      <c r="Y33" s="3232" t="s">
        <v>2566</v>
      </c>
      <c r="Z33" s="1814" t="str">
        <f t="shared" si="15"/>
        <v>建筑类型</v>
      </c>
      <c r="AA33" s="1811">
        <f t="shared" si="3"/>
        <v>1</v>
      </c>
      <c r="AB33" s="1811">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232"/>
      <c r="Z34" s="780" t="str">
        <f t="shared" si="15"/>
        <v>项目建筑规模</v>
      </c>
      <c r="AA34" s="1811" t="e">
        <f t="shared" si="3"/>
        <v>#N/A</v>
      </c>
      <c r="AB34" s="1811"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32"/>
      <c r="Z35" s="1814" t="str">
        <f t="shared" si="15"/>
        <v>建筑结构</v>
      </c>
      <c r="AA35" s="1811">
        <f t="shared" si="3"/>
        <v>1</v>
      </c>
      <c r="AB35" s="1811">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32"/>
      <c r="Z36" s="1814" t="str">
        <f t="shared" si="15"/>
        <v>公共部分装修</v>
      </c>
      <c r="AA36" s="1811">
        <f t="shared" si="3"/>
        <v>1</v>
      </c>
      <c r="AB36" s="1811">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10" t="str">
        <f t="shared" si="11"/>
        <v>成新度</v>
      </c>
      <c r="R37" s="774" t="s">
        <v>17</v>
      </c>
      <c r="S37" s="775" t="e">
        <f t="shared" si="12"/>
        <v>#N/A</v>
      </c>
      <c r="T37" s="774" t="s">
        <v>17</v>
      </c>
      <c r="U37" s="775" t="e">
        <f t="shared" si="13"/>
        <v>#N/A</v>
      </c>
      <c r="V37" s="774" t="s">
        <v>17</v>
      </c>
      <c r="W37" s="775" t="e">
        <f t="shared" si="14"/>
        <v>#N/A</v>
      </c>
      <c r="X37" s="1813"/>
      <c r="Y37" s="3232"/>
      <c r="Z37" s="1814" t="str">
        <f t="shared" si="15"/>
        <v>成新度</v>
      </c>
      <c r="AA37" s="1811" t="e">
        <f t="shared" si="3"/>
        <v>#N/A</v>
      </c>
      <c r="AB37" s="1811"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2566</v>
      </c>
      <c r="Q39" s="1810" t="str">
        <f t="shared" si="11"/>
        <v>物业管理</v>
      </c>
      <c r="R39" s="774" t="s">
        <v>17</v>
      </c>
      <c r="S39" s="775">
        <f t="shared" si="12"/>
        <v>100</v>
      </c>
      <c r="T39" s="774" t="s">
        <v>17</v>
      </c>
      <c r="U39" s="775">
        <f t="shared" si="13"/>
        <v>100</v>
      </c>
      <c r="V39" s="774" t="s">
        <v>17</v>
      </c>
      <c r="W39" s="775">
        <f t="shared" si="14"/>
        <v>100</v>
      </c>
      <c r="X39" s="1813"/>
      <c r="Y39" s="3232" t="s">
        <v>2566</v>
      </c>
      <c r="Z39" s="1814" t="str">
        <f t="shared" si="15"/>
        <v>物业管理</v>
      </c>
      <c r="AA39" s="1811">
        <f t="shared" si="3"/>
        <v>1</v>
      </c>
      <c r="AB39" s="1811">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32"/>
      <c r="Z40" s="1814" t="str">
        <f t="shared" si="15"/>
        <v>市政基础设施</v>
      </c>
      <c r="AA40" s="1811">
        <f t="shared" si="3"/>
        <v>1</v>
      </c>
      <c r="AB40" s="1811">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32"/>
      <c r="Z41" s="1814" t="str">
        <f t="shared" si="15"/>
        <v>层高</v>
      </c>
      <c r="AA41" s="1811">
        <f t="shared" si="3"/>
        <v>1</v>
      </c>
      <c r="AB41" s="1811">
        <f t="shared" si="4"/>
        <v>1</v>
      </c>
      <c r="AC41" s="2678">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1">
        <f t="shared" si="3"/>
        <v>1</v>
      </c>
      <c r="AB42" s="1811">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32"/>
      <c r="Z43" s="1814" t="str">
        <f t="shared" si="15"/>
        <v>内部装修</v>
      </c>
      <c r="AA43" s="1811">
        <f t="shared" si="3"/>
        <v>1</v>
      </c>
      <c r="AB43" s="1811">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232"/>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233"/>
      <c r="Z47" s="1814">
        <f t="shared" si="15"/>
        <v>111</v>
      </c>
      <c r="AA47" s="1811">
        <f t="shared" si="3"/>
        <v>1</v>
      </c>
      <c r="AB47" s="1811">
        <f t="shared" si="4"/>
        <v>1</v>
      </c>
      <c r="AC47" s="2678">
        <f t="shared" si="5"/>
        <v>1</v>
      </c>
    </row>
    <row r="48" spans="1:29" ht="15">
      <c r="A48" s="479" t="s">
        <v>2578</v>
      </c>
      <c r="B48" s="480"/>
      <c r="C48" s="1407" t="s">
        <v>1</v>
      </c>
      <c r="D48" s="1408"/>
      <c r="E48" s="1409"/>
      <c r="F48" s="1410"/>
      <c r="G48" s="1411"/>
      <c r="H48" s="1412"/>
      <c r="I48" s="1409"/>
      <c r="J48" s="485"/>
      <c r="K48" s="783"/>
      <c r="L48" s="1143"/>
      <c r="M48" s="1131"/>
      <c r="N48" s="1131"/>
      <c r="O48" s="1131"/>
      <c r="P48" s="3207" t="str">
        <f>A48</f>
        <v>成交单价（元/平方米）</v>
      </c>
      <c r="Q48" s="3225"/>
      <c r="R48" s="3226">
        <f>E48</f>
        <v>0</v>
      </c>
      <c r="S48" s="3226"/>
      <c r="T48" s="3226">
        <f>G48</f>
        <v>0</v>
      </c>
      <c r="U48" s="3226"/>
      <c r="V48" s="3226">
        <f>I48</f>
        <v>0</v>
      </c>
      <c r="W48" s="3226"/>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5"/>
      <c r="Q58" s="504"/>
    </row>
    <row r="59" spans="1:29" s="508" customFormat="1" ht="15">
      <c r="A59" s="505" t="s">
        <v>2549</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2589</v>
      </c>
      <c r="B64" s="528" t="s">
        <v>2555</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2700</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2564</v>
      </c>
      <c r="B101" s="528" t="s">
        <v>2613</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2615</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2617</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2618</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2619</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2702</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2621</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1608</v>
      </c>
    </row>
    <row r="6" spans="1:1" ht="18.75">
      <c r="A6" s="1950" t="s">
        <v>1609</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估价对象为房地产，为所有。根据《国有土地使用证》[]，估价对象（分摊）出让国有建设用地使用权面积为10174.82平方米，建筑面积为36535.63平方米。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估价对象为房地产,属开发建设的，该项目尚在开发建设中。根据《国有土地使用证》[]，估价对象（分摊）出让国有建设用地使用权面积为10174.82平方米，规划建筑面积为36535.63平方米。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本次评估采用的主估价方法为比较法和收益法。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2703</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90"/>
      <c r="D2" s="1124"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36535.62999999999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2549</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5"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7" t="s">
        <v>2561</v>
      </c>
      <c r="Q15" s="1810" t="str">
        <f t="shared" si="6"/>
        <v>产业集聚程度</v>
      </c>
      <c r="R15" s="774" t="s">
        <v>17</v>
      </c>
      <c r="S15" s="775">
        <f t="shared" si="0"/>
        <v>100</v>
      </c>
      <c r="T15" s="774" t="s">
        <v>17</v>
      </c>
      <c r="U15" s="775">
        <f t="shared" si="1"/>
        <v>100</v>
      </c>
      <c r="V15" s="774" t="s">
        <v>17</v>
      </c>
      <c r="W15" s="775">
        <f t="shared" si="2"/>
        <v>100</v>
      </c>
      <c r="X15" s="1813"/>
      <c r="Y15" s="3227"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8"/>
      <c r="Q16" s="1810"/>
      <c r="R16" s="774"/>
      <c r="S16" s="775"/>
      <c r="T16" s="774"/>
      <c r="U16" s="775"/>
      <c r="V16" s="774"/>
      <c r="W16" s="775"/>
      <c r="X16" s="1813"/>
      <c r="Y16" s="3228"/>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8"/>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28"/>
      <c r="Q18" s="1810"/>
      <c r="R18" s="774"/>
      <c r="S18" s="775"/>
      <c r="T18" s="774"/>
      <c r="U18" s="775"/>
      <c r="V18" s="774"/>
      <c r="W18" s="775"/>
      <c r="X18" s="1813"/>
      <c r="Y18" s="3228"/>
      <c r="Z18" s="1814"/>
      <c r="AA18" s="1811">
        <v>1</v>
      </c>
      <c r="AB18" s="1811">
        <v>1</v>
      </c>
      <c r="AC18" s="1811">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8"/>
      <c r="Q19" s="1810" t="str">
        <f>B19</f>
        <v>公共配套设施</v>
      </c>
      <c r="R19" s="774" t="s">
        <v>17</v>
      </c>
      <c r="S19" s="775">
        <f>F19</f>
        <v>100</v>
      </c>
      <c r="T19" s="774" t="s">
        <v>17</v>
      </c>
      <c r="U19" s="775">
        <f>H19</f>
        <v>100</v>
      </c>
      <c r="V19" s="774" t="s">
        <v>17</v>
      </c>
      <c r="W19" s="775">
        <f>J19</f>
        <v>100</v>
      </c>
      <c r="X19" s="1813"/>
      <c r="Y19" s="3228"/>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28"/>
      <c r="Q20" s="1810"/>
      <c r="R20" s="774"/>
      <c r="S20" s="775"/>
      <c r="T20" s="774"/>
      <c r="U20" s="775"/>
      <c r="V20" s="774"/>
      <c r="W20" s="775"/>
      <c r="X20" s="1813"/>
      <c r="Y20" s="3228"/>
      <c r="Z20" s="1814"/>
      <c r="AA20" s="1811">
        <v>1</v>
      </c>
      <c r="AB20" s="1811">
        <v>1</v>
      </c>
      <c r="AC20" s="1811">
        <v>1</v>
      </c>
    </row>
    <row r="21" spans="1:29" ht="28.5">
      <c r="A21" s="428"/>
      <c r="B21" s="1384"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8"/>
      <c r="Q21" s="1810" t="str">
        <f>B21</f>
        <v>基础设施水平</v>
      </c>
      <c r="R21" s="774" t="s">
        <v>17</v>
      </c>
      <c r="S21" s="775">
        <f>F21</f>
        <v>100</v>
      </c>
      <c r="T21" s="774" t="s">
        <v>17</v>
      </c>
      <c r="U21" s="775">
        <f>H21</f>
        <v>100</v>
      </c>
      <c r="V21" s="774" t="s">
        <v>17</v>
      </c>
      <c r="W21" s="775">
        <f>J21</f>
        <v>100</v>
      </c>
      <c r="X21" s="1813"/>
      <c r="Y21" s="3228"/>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28"/>
      <c r="Q22" s="1810"/>
      <c r="R22" s="774"/>
      <c r="S22" s="775"/>
      <c r="T22" s="774"/>
      <c r="U22" s="775"/>
      <c r="V22" s="774"/>
      <c r="W22" s="775"/>
      <c r="X22" s="1813"/>
      <c r="Y22" s="3228"/>
      <c r="Z22" s="1814"/>
      <c r="AA22" s="1811">
        <v>1</v>
      </c>
      <c r="AB22" s="1811">
        <v>1</v>
      </c>
      <c r="AC22" s="1811">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8"/>
      <c r="Q23" s="1810" t="str">
        <f>B23</f>
        <v>环境质量</v>
      </c>
      <c r="R23" s="774" t="s">
        <v>17</v>
      </c>
      <c r="S23" s="775">
        <f>F23</f>
        <v>100</v>
      </c>
      <c r="T23" s="774" t="s">
        <v>17</v>
      </c>
      <c r="U23" s="775">
        <f>H23</f>
        <v>100</v>
      </c>
      <c r="V23" s="774" t="s">
        <v>17</v>
      </c>
      <c r="W23" s="775">
        <f>J23</f>
        <v>100</v>
      </c>
      <c r="X23" s="1813"/>
      <c r="Y23" s="3228"/>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28"/>
      <c r="Q24" s="1810"/>
      <c r="R24" s="774"/>
      <c r="S24" s="775"/>
      <c r="T24" s="774"/>
      <c r="U24" s="775"/>
      <c r="V24" s="774"/>
      <c r="W24" s="775"/>
      <c r="X24" s="1813"/>
      <c r="Y24" s="322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8"/>
      <c r="Q25" s="1810">
        <f>B25</f>
        <v>111</v>
      </c>
      <c r="R25" s="774" t="s">
        <v>17</v>
      </c>
      <c r="S25" s="775">
        <f>F25</f>
        <v>100</v>
      </c>
      <c r="T25" s="774" t="s">
        <v>17</v>
      </c>
      <c r="U25" s="775">
        <f>H25</f>
        <v>100</v>
      </c>
      <c r="V25" s="774" t="s">
        <v>17</v>
      </c>
      <c r="W25" s="775">
        <f>J25</f>
        <v>100</v>
      </c>
      <c r="X25" s="1813"/>
      <c r="Y25" s="322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8"/>
      <c r="Q26" s="1810">
        <f t="shared" ref="Q26:Q40" si="11">B26</f>
        <v>111</v>
      </c>
      <c r="R26" s="774" t="s">
        <v>17</v>
      </c>
      <c r="S26" s="775">
        <f>F26</f>
        <v>100</v>
      </c>
      <c r="T26" s="774" t="s">
        <v>17</v>
      </c>
      <c r="U26" s="775">
        <f>H26</f>
        <v>100</v>
      </c>
      <c r="V26" s="774" t="s">
        <v>17</v>
      </c>
      <c r="W26" s="775">
        <f>J26</f>
        <v>100</v>
      </c>
      <c r="X26" s="1813"/>
      <c r="Y26" s="322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8"/>
      <c r="Q27" s="1795">
        <f t="shared" si="11"/>
        <v>111</v>
      </c>
      <c r="R27" s="770" t="s">
        <v>17</v>
      </c>
      <c r="S27" s="771">
        <f>F27</f>
        <v>100</v>
      </c>
      <c r="T27" s="770" t="s">
        <v>17</v>
      </c>
      <c r="U27" s="771">
        <f>H27</f>
        <v>100</v>
      </c>
      <c r="V27" s="770" t="s">
        <v>17</v>
      </c>
      <c r="W27" s="771">
        <f>J27</f>
        <v>100</v>
      </c>
      <c r="X27" s="772"/>
      <c r="Y27" s="322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8"/>
      <c r="Q28" s="1810">
        <f t="shared" si="11"/>
        <v>111</v>
      </c>
      <c r="R28" s="774" t="s">
        <v>17</v>
      </c>
      <c r="S28" s="775">
        <f t="shared" ref="S28:S40" si="12">F28</f>
        <v>100</v>
      </c>
      <c r="T28" s="774" t="s">
        <v>17</v>
      </c>
      <c r="U28" s="775">
        <f t="shared" ref="U28:U40" si="13">H28</f>
        <v>100</v>
      </c>
      <c r="V28" s="774" t="s">
        <v>17</v>
      </c>
      <c r="W28" s="775">
        <f t="shared" ref="W28:W40" si="14">J28</f>
        <v>100</v>
      </c>
      <c r="X28" s="1813"/>
      <c r="Y28" s="3228"/>
      <c r="Z28" s="1814">
        <f t="shared" ref="Z28:Z40" si="15">Q28</f>
        <v>111</v>
      </c>
      <c r="AA28" s="1811">
        <f t="shared" si="3"/>
        <v>1</v>
      </c>
      <c r="AB28" s="1811">
        <f t="shared" si="4"/>
        <v>1</v>
      </c>
      <c r="AC28" s="1811">
        <f t="shared" si="5"/>
        <v>1</v>
      </c>
    </row>
    <row r="29" spans="1:29" ht="28.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53" t="s">
        <v>2566</v>
      </c>
      <c r="Q29" s="1810" t="str">
        <f t="shared" si="11"/>
        <v>建筑类型</v>
      </c>
      <c r="R29" s="774" t="s">
        <v>17</v>
      </c>
      <c r="S29" s="775">
        <f t="shared" si="12"/>
        <v>100</v>
      </c>
      <c r="T29" s="774" t="s">
        <v>17</v>
      </c>
      <c r="U29" s="775">
        <f t="shared" si="13"/>
        <v>100</v>
      </c>
      <c r="V29" s="774" t="s">
        <v>17</v>
      </c>
      <c r="W29" s="775">
        <f t="shared" si="14"/>
        <v>100</v>
      </c>
      <c r="X29" s="1813"/>
      <c r="Y29" s="3232"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2"/>
      <c r="Q31" s="1810" t="str">
        <f t="shared" si="11"/>
        <v>建筑结构</v>
      </c>
      <c r="R31" s="774" t="s">
        <v>17</v>
      </c>
      <c r="S31" s="775">
        <f t="shared" si="12"/>
        <v>100</v>
      </c>
      <c r="T31" s="774" t="s">
        <v>17</v>
      </c>
      <c r="U31" s="775">
        <f t="shared" si="13"/>
        <v>100</v>
      </c>
      <c r="V31" s="774" t="s">
        <v>17</v>
      </c>
      <c r="W31" s="775">
        <f t="shared" si="14"/>
        <v>100</v>
      </c>
      <c r="X31" s="1813"/>
      <c r="Y31" s="3232"/>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2"/>
      <c r="Q32" s="1810" t="str">
        <f t="shared" si="11"/>
        <v>公共部分装修</v>
      </c>
      <c r="R32" s="774" t="s">
        <v>17</v>
      </c>
      <c r="S32" s="775">
        <f t="shared" si="12"/>
        <v>100</v>
      </c>
      <c r="T32" s="774" t="s">
        <v>17</v>
      </c>
      <c r="U32" s="775">
        <f t="shared" si="13"/>
        <v>100</v>
      </c>
      <c r="V32" s="774" t="s">
        <v>17</v>
      </c>
      <c r="W32" s="775">
        <f t="shared" si="14"/>
        <v>100</v>
      </c>
      <c r="X32" s="1813"/>
      <c r="Y32" s="3232"/>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2"/>
      <c r="Q33" s="1810" t="str">
        <f t="shared" si="11"/>
        <v>成新度</v>
      </c>
      <c r="R33" s="774" t="s">
        <v>17</v>
      </c>
      <c r="S33" s="775" t="e">
        <f t="shared" si="12"/>
        <v>#N/A</v>
      </c>
      <c r="T33" s="774" t="s">
        <v>17</v>
      </c>
      <c r="U33" s="775" t="e">
        <f t="shared" si="13"/>
        <v>#N/A</v>
      </c>
      <c r="V33" s="774" t="s">
        <v>17</v>
      </c>
      <c r="W33" s="775" t="e">
        <f t="shared" si="14"/>
        <v>#N/A</v>
      </c>
      <c r="X33" s="1813"/>
      <c r="Y33" s="3232"/>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2"/>
      <c r="Q34" s="1795"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2" t="s">
        <v>2566</v>
      </c>
      <c r="Q35" s="1810" t="str">
        <f t="shared" si="11"/>
        <v>市政基础设施</v>
      </c>
      <c r="R35" s="774" t="s">
        <v>17</v>
      </c>
      <c r="S35" s="775">
        <f t="shared" si="12"/>
        <v>100</v>
      </c>
      <c r="T35" s="774" t="s">
        <v>17</v>
      </c>
      <c r="U35" s="775">
        <f t="shared" si="13"/>
        <v>100</v>
      </c>
      <c r="V35" s="774" t="s">
        <v>17</v>
      </c>
      <c r="W35" s="775">
        <f t="shared" si="14"/>
        <v>100</v>
      </c>
      <c r="X35" s="1813"/>
      <c r="Y35" s="3232"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2"/>
      <c r="Q36" s="1810" t="str">
        <f t="shared" si="11"/>
        <v>内部装修</v>
      </c>
      <c r="R36" s="774" t="s">
        <v>17</v>
      </c>
      <c r="S36" s="775">
        <f t="shared" si="12"/>
        <v>100</v>
      </c>
      <c r="T36" s="774" t="s">
        <v>17</v>
      </c>
      <c r="U36" s="775">
        <f t="shared" si="13"/>
        <v>100</v>
      </c>
      <c r="V36" s="774" t="s">
        <v>17</v>
      </c>
      <c r="W36" s="775">
        <f t="shared" si="14"/>
        <v>100</v>
      </c>
      <c r="X36" s="1813"/>
      <c r="Y36" s="3232"/>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2"/>
      <c r="Q37" s="1810" t="str">
        <f t="shared" si="11"/>
        <v>内部装修状况</v>
      </c>
      <c r="R37" s="774" t="s">
        <v>17</v>
      </c>
      <c r="S37" s="775">
        <f t="shared" si="12"/>
        <v>100</v>
      </c>
      <c r="T37" s="774" t="s">
        <v>17</v>
      </c>
      <c r="U37" s="775">
        <f t="shared" si="13"/>
        <v>100</v>
      </c>
      <c r="V37" s="774" t="s">
        <v>17</v>
      </c>
      <c r="W37" s="775">
        <f t="shared" si="14"/>
        <v>100</v>
      </c>
      <c r="X37" s="1813"/>
      <c r="Y37" s="323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2"/>
      <c r="Q39" s="1810">
        <f t="shared" si="11"/>
        <v>111</v>
      </c>
      <c r="R39" s="774" t="s">
        <v>17</v>
      </c>
      <c r="S39" s="775">
        <f t="shared" si="12"/>
        <v>100</v>
      </c>
      <c r="T39" s="774" t="s">
        <v>17</v>
      </c>
      <c r="U39" s="775">
        <f t="shared" si="13"/>
        <v>100</v>
      </c>
      <c r="V39" s="774" t="s">
        <v>17</v>
      </c>
      <c r="W39" s="775">
        <f t="shared" si="14"/>
        <v>100</v>
      </c>
      <c r="X39" s="1813"/>
      <c r="Y39" s="3232"/>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10">
        <f t="shared" si="11"/>
        <v>111</v>
      </c>
      <c r="R40" s="774" t="s">
        <v>17</v>
      </c>
      <c r="S40" s="775">
        <f t="shared" si="12"/>
        <v>100</v>
      </c>
      <c r="T40" s="774" t="s">
        <v>17</v>
      </c>
      <c r="U40" s="775">
        <f t="shared" si="13"/>
        <v>100</v>
      </c>
      <c r="V40" s="774" t="s">
        <v>17</v>
      </c>
      <c r="W40" s="775">
        <f t="shared" si="14"/>
        <v>100</v>
      </c>
      <c r="X40" s="1813"/>
      <c r="Y40" s="3233"/>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25" t="str">
        <f>A41</f>
        <v>成交单价（元/平方米）</v>
      </c>
      <c r="Q41" s="3225"/>
      <c r="R41" s="3226">
        <f>E41</f>
        <v>0</v>
      </c>
      <c r="S41" s="3226"/>
      <c r="T41" s="3226">
        <f>G41</f>
        <v>0</v>
      </c>
      <c r="U41" s="3226"/>
      <c r="V41" s="3226">
        <f>I41</f>
        <v>0</v>
      </c>
      <c r="W41" s="3226"/>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22" t="str">
        <f>A43</f>
        <v>估价对象XX用房的比较价值（楼面单价，元/平方米）</v>
      </c>
      <c r="Q43" s="3223"/>
      <c r="R43" s="3224" t="e">
        <f>IF(F1="售价",ROUND(AVERAGE(R42:V42),0),ROUND(AVERAGE(R42:V42),1))</f>
        <v>#DIV/0!</v>
      </c>
      <c r="S43" s="3224"/>
      <c r="T43" s="3224"/>
      <c r="U43" s="3224"/>
      <c r="V43" s="3224"/>
      <c r="W43" s="322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8"/>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2549</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3" t="s">
        <v>2550</v>
      </c>
      <c r="Q7" s="3221"/>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5" t="s">
        <v>2556</v>
      </c>
      <c r="Q9" s="1795"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5"/>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7" t="s">
        <v>2561</v>
      </c>
      <c r="Q14" s="1810" t="str">
        <f t="shared" si="6"/>
        <v>交通便捷度</v>
      </c>
      <c r="R14" s="774" t="s">
        <v>17</v>
      </c>
      <c r="S14" s="775">
        <f t="shared" si="0"/>
        <v>100</v>
      </c>
      <c r="T14" s="774" t="s">
        <v>17</v>
      </c>
      <c r="U14" s="775">
        <f t="shared" si="1"/>
        <v>100</v>
      </c>
      <c r="V14" s="774" t="s">
        <v>17</v>
      </c>
      <c r="W14" s="775">
        <f t="shared" si="2"/>
        <v>100</v>
      </c>
      <c r="X14" s="1813"/>
      <c r="Y14" s="3227"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8"/>
      <c r="Q15" s="1810"/>
      <c r="R15" s="774"/>
      <c r="S15" s="775"/>
      <c r="T15" s="774"/>
      <c r="U15" s="775"/>
      <c r="V15" s="774"/>
      <c r="W15" s="775"/>
      <c r="X15" s="1813"/>
      <c r="Y15" s="3228"/>
      <c r="Z15" s="1814"/>
      <c r="AA15" s="1811">
        <v>1</v>
      </c>
      <c r="AB15" s="1811">
        <v>1</v>
      </c>
      <c r="AC15" s="1811">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8"/>
      <c r="Q16" s="1810" t="str">
        <f>B16</f>
        <v>公共配套设施</v>
      </c>
      <c r="R16" s="774" t="s">
        <v>17</v>
      </c>
      <c r="S16" s="775">
        <f>F16</f>
        <v>100</v>
      </c>
      <c r="T16" s="774" t="s">
        <v>17</v>
      </c>
      <c r="U16" s="775">
        <f>H16</f>
        <v>100</v>
      </c>
      <c r="V16" s="774" t="s">
        <v>17</v>
      </c>
      <c r="W16" s="775">
        <f>J16</f>
        <v>100</v>
      </c>
      <c r="X16" s="1813"/>
      <c r="Y16" s="3228"/>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28"/>
      <c r="Q17" s="1810"/>
      <c r="R17" s="774"/>
      <c r="S17" s="775"/>
      <c r="T17" s="774"/>
      <c r="U17" s="775"/>
      <c r="V17" s="774"/>
      <c r="W17" s="775"/>
      <c r="X17" s="1813"/>
      <c r="Y17" s="3228"/>
      <c r="Z17" s="1814"/>
      <c r="AA17" s="1811">
        <v>1</v>
      </c>
      <c r="AB17" s="1811">
        <v>1</v>
      </c>
      <c r="AC17" s="1811">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8"/>
      <c r="Q18" s="1810" t="str">
        <f>B18</f>
        <v>基础设施水平</v>
      </c>
      <c r="R18" s="774" t="s">
        <v>17</v>
      </c>
      <c r="S18" s="775">
        <f>F18</f>
        <v>100</v>
      </c>
      <c r="T18" s="774" t="s">
        <v>17</v>
      </c>
      <c r="U18" s="775">
        <f>H18</f>
        <v>100</v>
      </c>
      <c r="V18" s="774" t="s">
        <v>17</v>
      </c>
      <c r="W18" s="775">
        <f>J18</f>
        <v>100</v>
      </c>
      <c r="X18" s="1813"/>
      <c r="Y18" s="3228"/>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28"/>
      <c r="Q19" s="1810"/>
      <c r="R19" s="774"/>
      <c r="S19" s="775"/>
      <c r="T19" s="774"/>
      <c r="U19" s="775"/>
      <c r="V19" s="774"/>
      <c r="W19" s="775"/>
      <c r="X19" s="1813"/>
      <c r="Y19" s="3228"/>
      <c r="Z19" s="1814"/>
      <c r="AA19" s="1811">
        <v>1</v>
      </c>
      <c r="AB19" s="1811">
        <v>1</v>
      </c>
      <c r="AC19" s="1811">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8"/>
      <c r="Q20" s="1810" t="str">
        <f>B20</f>
        <v>自然及人文环境</v>
      </c>
      <c r="R20" s="774" t="s">
        <v>17</v>
      </c>
      <c r="S20" s="775">
        <f>F20</f>
        <v>100</v>
      </c>
      <c r="T20" s="774" t="s">
        <v>17</v>
      </c>
      <c r="U20" s="775">
        <f>H20</f>
        <v>100</v>
      </c>
      <c r="V20" s="774" t="s">
        <v>17</v>
      </c>
      <c r="W20" s="775">
        <f>J20</f>
        <v>100</v>
      </c>
      <c r="X20" s="1813"/>
      <c r="Y20" s="322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8"/>
      <c r="Q21" s="1810"/>
      <c r="R21" s="774"/>
      <c r="S21" s="775"/>
      <c r="T21" s="774"/>
      <c r="U21" s="775"/>
      <c r="V21" s="774"/>
      <c r="W21" s="775"/>
      <c r="X21" s="1813"/>
      <c r="Y21" s="3228"/>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8"/>
      <c r="Q22" s="1810" t="str">
        <f>B22</f>
        <v>楼层</v>
      </c>
      <c r="R22" s="774" t="s">
        <v>17</v>
      </c>
      <c r="S22" s="775">
        <f>F22</f>
        <v>100</v>
      </c>
      <c r="T22" s="774" t="s">
        <v>17</v>
      </c>
      <c r="U22" s="775">
        <f>H22</f>
        <v>100</v>
      </c>
      <c r="V22" s="774" t="s">
        <v>17</v>
      </c>
      <c r="W22" s="775">
        <f>J22</f>
        <v>100</v>
      </c>
      <c r="X22" s="1813"/>
      <c r="Y22" s="322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8"/>
      <c r="Q23" s="1810">
        <f>B23</f>
        <v>111</v>
      </c>
      <c r="R23" s="774" t="s">
        <v>17</v>
      </c>
      <c r="S23" s="775">
        <f>F23</f>
        <v>100</v>
      </c>
      <c r="T23" s="774" t="s">
        <v>17</v>
      </c>
      <c r="U23" s="775">
        <f>H23</f>
        <v>100</v>
      </c>
      <c r="V23" s="774" t="s">
        <v>17</v>
      </c>
      <c r="W23" s="775">
        <f>J23</f>
        <v>100</v>
      </c>
      <c r="X23" s="1813"/>
      <c r="Y23" s="322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8"/>
      <c r="Q24" s="1810">
        <f t="shared" ref="Q24:Q36" si="11">B24</f>
        <v>111</v>
      </c>
      <c r="R24" s="774" t="s">
        <v>17</v>
      </c>
      <c r="S24" s="775">
        <f>F24</f>
        <v>100</v>
      </c>
      <c r="T24" s="774" t="s">
        <v>17</v>
      </c>
      <c r="U24" s="775">
        <f>H24</f>
        <v>100</v>
      </c>
      <c r="V24" s="774" t="s">
        <v>17</v>
      </c>
      <c r="W24" s="775">
        <f>J24</f>
        <v>100</v>
      </c>
      <c r="X24" s="1813"/>
      <c r="Y24" s="322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8"/>
      <c r="Q25" s="1795">
        <f t="shared" si="11"/>
        <v>111</v>
      </c>
      <c r="R25" s="770" t="s">
        <v>17</v>
      </c>
      <c r="S25" s="771">
        <f>F25</f>
        <v>100</v>
      </c>
      <c r="T25" s="770" t="s">
        <v>17</v>
      </c>
      <c r="U25" s="771">
        <f>H25</f>
        <v>100</v>
      </c>
      <c r="V25" s="770" t="s">
        <v>17</v>
      </c>
      <c r="W25" s="771">
        <f>J25</f>
        <v>100</v>
      </c>
      <c r="X25" s="772"/>
      <c r="Y25" s="3228"/>
      <c r="Z25" s="55">
        <f>Q25</f>
        <v>111</v>
      </c>
      <c r="AA25" s="1811">
        <f>D25/F25</f>
        <v>1</v>
      </c>
      <c r="AB25" s="1811">
        <f>D25/H25</f>
        <v>1</v>
      </c>
      <c r="AC25" s="1811">
        <f>D25/J25</f>
        <v>1</v>
      </c>
    </row>
    <row r="26" spans="1:29" ht="28.5">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2"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2"/>
      <c r="Q28" s="1810" t="str">
        <f t="shared" si="11"/>
        <v>公共部分装修</v>
      </c>
      <c r="R28" s="774" t="s">
        <v>17</v>
      </c>
      <c r="S28" s="775">
        <f t="shared" si="12"/>
        <v>100</v>
      </c>
      <c r="T28" s="774" t="s">
        <v>17</v>
      </c>
      <c r="U28" s="775">
        <f t="shared" si="13"/>
        <v>100</v>
      </c>
      <c r="V28" s="774" t="s">
        <v>17</v>
      </c>
      <c r="W28" s="775">
        <f t="shared" si="14"/>
        <v>100</v>
      </c>
      <c r="X28" s="1813"/>
      <c r="Y28" s="3232"/>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2"/>
      <c r="Q29" s="1810" t="str">
        <f t="shared" si="11"/>
        <v>成新率</v>
      </c>
      <c r="R29" s="774" t="s">
        <v>17</v>
      </c>
      <c r="S29" s="775" t="e">
        <f t="shared" si="12"/>
        <v>#N/A</v>
      </c>
      <c r="T29" s="774" t="s">
        <v>17</v>
      </c>
      <c r="U29" s="775" t="e">
        <f t="shared" si="13"/>
        <v>#N/A</v>
      </c>
      <c r="V29" s="774" t="s">
        <v>17</v>
      </c>
      <c r="W29" s="775" t="e">
        <f t="shared" si="14"/>
        <v>#N/A</v>
      </c>
      <c r="X29" s="1813"/>
      <c r="Y29" s="3232"/>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2"/>
      <c r="Q30" s="1810" t="str">
        <f t="shared" si="11"/>
        <v>物业等级</v>
      </c>
      <c r="R30" s="774" t="s">
        <v>17</v>
      </c>
      <c r="S30" s="775">
        <f t="shared" si="12"/>
        <v>100</v>
      </c>
      <c r="T30" s="774" t="s">
        <v>17</v>
      </c>
      <c r="U30" s="775">
        <f t="shared" si="13"/>
        <v>100</v>
      </c>
      <c r="V30" s="774" t="s">
        <v>17</v>
      </c>
      <c r="W30" s="775">
        <f t="shared" si="14"/>
        <v>100</v>
      </c>
      <c r="X30" s="1813"/>
      <c r="Y30" s="3232"/>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2"/>
      <c r="Q31" s="1795"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2" t="s">
        <v>2566</v>
      </c>
      <c r="Q32" s="1810" t="str">
        <f t="shared" si="11"/>
        <v>车位类型</v>
      </c>
      <c r="R32" s="774" t="s">
        <v>17</v>
      </c>
      <c r="S32" s="775">
        <f t="shared" si="12"/>
        <v>100</v>
      </c>
      <c r="T32" s="774" t="s">
        <v>17</v>
      </c>
      <c r="U32" s="775">
        <f t="shared" si="13"/>
        <v>100</v>
      </c>
      <c r="V32" s="774" t="s">
        <v>17</v>
      </c>
      <c r="W32" s="775">
        <f t="shared" si="14"/>
        <v>100</v>
      </c>
      <c r="X32" s="1813"/>
      <c r="Y32" s="3232"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2"/>
      <c r="Q33" s="1810" t="str">
        <f t="shared" si="11"/>
        <v>是否直接入户</v>
      </c>
      <c r="R33" s="774" t="s">
        <v>17</v>
      </c>
      <c r="S33" s="775">
        <f t="shared" si="12"/>
        <v>100</v>
      </c>
      <c r="T33" s="774" t="s">
        <v>17</v>
      </c>
      <c r="U33" s="775">
        <f t="shared" si="13"/>
        <v>100</v>
      </c>
      <c r="V33" s="774" t="s">
        <v>17</v>
      </c>
      <c r="W33" s="775">
        <f t="shared" si="14"/>
        <v>100</v>
      </c>
      <c r="X33" s="1813"/>
      <c r="Y33" s="323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2"/>
      <c r="Q34" s="1810">
        <f t="shared" si="11"/>
        <v>111</v>
      </c>
      <c r="R34" s="774" t="s">
        <v>17</v>
      </c>
      <c r="S34" s="775">
        <f t="shared" si="12"/>
        <v>100</v>
      </c>
      <c r="T34" s="774" t="s">
        <v>17</v>
      </c>
      <c r="U34" s="775">
        <f t="shared" si="13"/>
        <v>100</v>
      </c>
      <c r="V34" s="774" t="s">
        <v>17</v>
      </c>
      <c r="W34" s="775">
        <f t="shared" si="14"/>
        <v>100</v>
      </c>
      <c r="X34" s="1813"/>
      <c r="Y34" s="323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2"/>
      <c r="Q36" s="1810">
        <f t="shared" si="11"/>
        <v>111</v>
      </c>
      <c r="R36" s="774" t="s">
        <v>17</v>
      </c>
      <c r="S36" s="775">
        <f t="shared" si="12"/>
        <v>100</v>
      </c>
      <c r="T36" s="774" t="s">
        <v>17</v>
      </c>
      <c r="U36" s="775">
        <f t="shared" si="13"/>
        <v>100</v>
      </c>
      <c r="V36" s="774" t="s">
        <v>17</v>
      </c>
      <c r="W36" s="775">
        <f t="shared" si="14"/>
        <v>100</v>
      </c>
      <c r="X36" s="1813"/>
      <c r="Y36" s="3232"/>
      <c r="Z36" s="1814">
        <f t="shared" si="15"/>
        <v>111</v>
      </c>
      <c r="AA36" s="1811">
        <f t="shared" si="3"/>
        <v>1</v>
      </c>
      <c r="AB36" s="1811">
        <f t="shared" si="4"/>
        <v>1</v>
      </c>
      <c r="AC36" s="1811">
        <f t="shared" si="5"/>
        <v>1</v>
      </c>
    </row>
    <row r="37" spans="1:29" ht="15">
      <c r="A37" s="479" t="s">
        <v>2721</v>
      </c>
      <c r="B37" s="2699" t="s">
        <v>2722</v>
      </c>
      <c r="C37" s="1407" t="s">
        <v>1</v>
      </c>
      <c r="D37" s="1408"/>
      <c r="E37" s="1409"/>
      <c r="F37" s="1410"/>
      <c r="G37" s="1411"/>
      <c r="H37" s="1412"/>
      <c r="I37" s="1409"/>
      <c r="J37" s="1412"/>
      <c r="K37" s="619"/>
      <c r="L37" s="1143"/>
      <c r="M37" s="1144"/>
      <c r="N37" s="1131"/>
      <c r="O37" s="1144"/>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22" t="str">
        <f>A39</f>
        <v>估价对象XX用房的比较价值（楼面单价，元/平方米）</v>
      </c>
      <c r="Q39" s="3223"/>
      <c r="R39" s="3224" t="e">
        <f>IF(F1="售价",ROUND(AVERAGE(R38:V38),0),ROUND(AVERAGE(R38:V38),1))</f>
        <v>#DIV/0!</v>
      </c>
      <c r="S39" s="3224"/>
      <c r="T39" s="3224"/>
      <c r="U39" s="3224"/>
      <c r="V39" s="3224"/>
      <c r="W39" s="322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03" t="s">
        <v>2547</v>
      </c>
      <c r="D6" s="3204"/>
      <c r="E6" s="3205" t="s">
        <v>2547</v>
      </c>
      <c r="F6" s="3206"/>
      <c r="G6" s="3203" t="s">
        <v>2547</v>
      </c>
      <c r="H6" s="3204"/>
      <c r="I6" s="3203" t="s">
        <v>2547</v>
      </c>
      <c r="J6" s="3204"/>
      <c r="K6" s="610" t="s">
        <v>2548</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2549</v>
      </c>
      <c r="B7" s="409"/>
      <c r="C7" s="410">
        <f>'数据-取费表'!B2</f>
        <v>43619</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93" t="s">
        <v>2550</v>
      </c>
      <c r="Q7" s="3221"/>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5" t="s">
        <v>2556</v>
      </c>
      <c r="Q9" s="1795"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5"/>
      <c r="Q10" s="1795"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5"/>
      <c r="Q11" s="1795">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7" t="s">
        <v>2561</v>
      </c>
      <c r="Q14" s="1810" t="str">
        <f t="shared" si="6"/>
        <v>交通便捷度</v>
      </c>
      <c r="R14" s="774" t="s">
        <v>17</v>
      </c>
      <c r="S14" s="775">
        <f t="shared" si="0"/>
        <v>100</v>
      </c>
      <c r="T14" s="774" t="s">
        <v>17</v>
      </c>
      <c r="U14" s="775">
        <f t="shared" si="1"/>
        <v>100</v>
      </c>
      <c r="V14" s="774" t="s">
        <v>17</v>
      </c>
      <c r="W14" s="775">
        <f t="shared" si="2"/>
        <v>100</v>
      </c>
      <c r="X14" s="1813"/>
      <c r="Y14" s="3227"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8"/>
      <c r="Q15" s="1810"/>
      <c r="R15" s="774"/>
      <c r="S15" s="775"/>
      <c r="T15" s="774"/>
      <c r="U15" s="775"/>
      <c r="V15" s="774"/>
      <c r="W15" s="775"/>
      <c r="X15" s="1813"/>
      <c r="Y15" s="3228"/>
      <c r="Z15" s="1814"/>
      <c r="AA15" s="1811">
        <v>1</v>
      </c>
      <c r="AB15" s="1811">
        <v>1</v>
      </c>
      <c r="AC15" s="1811">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8"/>
      <c r="Q16" s="1810" t="str">
        <f>B16</f>
        <v>公共配套设施</v>
      </c>
      <c r="R16" s="774" t="s">
        <v>17</v>
      </c>
      <c r="S16" s="775">
        <f>F16</f>
        <v>100</v>
      </c>
      <c r="T16" s="774" t="s">
        <v>17</v>
      </c>
      <c r="U16" s="775">
        <f>H16</f>
        <v>100</v>
      </c>
      <c r="V16" s="774" t="s">
        <v>17</v>
      </c>
      <c r="W16" s="775">
        <f>J16</f>
        <v>100</v>
      </c>
      <c r="X16" s="1813"/>
      <c r="Y16" s="3228"/>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28"/>
      <c r="Q17" s="1810"/>
      <c r="R17" s="774"/>
      <c r="S17" s="775"/>
      <c r="T17" s="774"/>
      <c r="U17" s="775"/>
      <c r="V17" s="774"/>
      <c r="W17" s="775"/>
      <c r="X17" s="1813"/>
      <c r="Y17" s="3228"/>
      <c r="Z17" s="1814"/>
      <c r="AA17" s="1811">
        <v>1</v>
      </c>
      <c r="AB17" s="1811">
        <v>1</v>
      </c>
      <c r="AC17" s="1811">
        <v>1</v>
      </c>
    </row>
    <row r="18" spans="1:29" ht="28.5">
      <c r="A18" s="428"/>
      <c r="B18" s="1384"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8"/>
      <c r="Q18" s="1810" t="str">
        <f>B18</f>
        <v>基础设施水平</v>
      </c>
      <c r="R18" s="774" t="s">
        <v>17</v>
      </c>
      <c r="S18" s="775">
        <f>F18</f>
        <v>100</v>
      </c>
      <c r="T18" s="774" t="s">
        <v>17</v>
      </c>
      <c r="U18" s="775">
        <f>H18</f>
        <v>100</v>
      </c>
      <c r="V18" s="774" t="s">
        <v>17</v>
      </c>
      <c r="W18" s="775">
        <f>J18</f>
        <v>100</v>
      </c>
      <c r="X18" s="1813"/>
      <c r="Y18" s="3228"/>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28"/>
      <c r="Q19" s="1810"/>
      <c r="R19" s="774"/>
      <c r="S19" s="775"/>
      <c r="T19" s="774"/>
      <c r="U19" s="775"/>
      <c r="V19" s="774"/>
      <c r="W19" s="775"/>
      <c r="X19" s="1813"/>
      <c r="Y19" s="3228"/>
      <c r="Z19" s="1814"/>
      <c r="AA19" s="1811">
        <v>1</v>
      </c>
      <c r="AB19" s="1811">
        <v>1</v>
      </c>
      <c r="AC19" s="1811">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8"/>
      <c r="Q20" s="1810" t="str">
        <f>B20</f>
        <v>自然及人文环境</v>
      </c>
      <c r="R20" s="774" t="s">
        <v>17</v>
      </c>
      <c r="S20" s="775">
        <f>F20</f>
        <v>100</v>
      </c>
      <c r="T20" s="774" t="s">
        <v>17</v>
      </c>
      <c r="U20" s="775">
        <f>H20</f>
        <v>100</v>
      </c>
      <c r="V20" s="774" t="s">
        <v>17</v>
      </c>
      <c r="W20" s="775">
        <f>J20</f>
        <v>100</v>
      </c>
      <c r="X20" s="1813"/>
      <c r="Y20" s="322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8"/>
      <c r="Q21" s="1810"/>
      <c r="R21" s="774"/>
      <c r="S21" s="775"/>
      <c r="T21" s="774"/>
      <c r="U21" s="775"/>
      <c r="V21" s="774"/>
      <c r="W21" s="775"/>
      <c r="X21" s="1813"/>
      <c r="Y21" s="3228"/>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8"/>
      <c r="Q22" s="1810" t="str">
        <f>B22</f>
        <v>楼层</v>
      </c>
      <c r="R22" s="774" t="s">
        <v>17</v>
      </c>
      <c r="S22" s="775">
        <f>F22</f>
        <v>100</v>
      </c>
      <c r="T22" s="774" t="s">
        <v>17</v>
      </c>
      <c r="U22" s="775">
        <f>H22</f>
        <v>100</v>
      </c>
      <c r="V22" s="774" t="s">
        <v>17</v>
      </c>
      <c r="W22" s="775">
        <f>J22</f>
        <v>100</v>
      </c>
      <c r="X22" s="1813"/>
      <c r="Y22" s="3228"/>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8"/>
      <c r="Q23" s="1810">
        <f>B23</f>
        <v>111</v>
      </c>
      <c r="R23" s="774" t="s">
        <v>17</v>
      </c>
      <c r="S23" s="775">
        <f>F23</f>
        <v>100</v>
      </c>
      <c r="T23" s="774" t="s">
        <v>17</v>
      </c>
      <c r="U23" s="775">
        <f>H23</f>
        <v>100</v>
      </c>
      <c r="V23" s="774" t="s">
        <v>17</v>
      </c>
      <c r="W23" s="775">
        <f>J23</f>
        <v>100</v>
      </c>
      <c r="X23" s="1813"/>
      <c r="Y23" s="3228"/>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8"/>
      <c r="Q24" s="1810">
        <f t="shared" ref="Q24:Q34" si="11">B24</f>
        <v>111</v>
      </c>
      <c r="R24" s="774" t="s">
        <v>17</v>
      </c>
      <c r="S24" s="775">
        <f>F24</f>
        <v>100</v>
      </c>
      <c r="T24" s="774" t="s">
        <v>17</v>
      </c>
      <c r="U24" s="775">
        <f>H24</f>
        <v>100</v>
      </c>
      <c r="V24" s="774" t="s">
        <v>17</v>
      </c>
      <c r="W24" s="775">
        <f>J24</f>
        <v>100</v>
      </c>
      <c r="X24" s="1813"/>
      <c r="Y24" s="3228"/>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28"/>
      <c r="Q25" s="1795">
        <f t="shared" si="11"/>
        <v>111</v>
      </c>
      <c r="R25" s="770" t="s">
        <v>17</v>
      </c>
      <c r="S25" s="771">
        <f>F25</f>
        <v>100</v>
      </c>
      <c r="T25" s="770" t="s">
        <v>17</v>
      </c>
      <c r="U25" s="771">
        <f>H25</f>
        <v>100</v>
      </c>
      <c r="V25" s="770" t="s">
        <v>17</v>
      </c>
      <c r="W25" s="771">
        <f>J25</f>
        <v>100</v>
      </c>
      <c r="X25" s="772"/>
      <c r="Y25" s="3228"/>
      <c r="Z25" s="55">
        <f>Q25</f>
        <v>111</v>
      </c>
      <c r="AA25" s="1811">
        <f>D25/F25</f>
        <v>1</v>
      </c>
      <c r="AB25" s="1811">
        <f>D25/H25</f>
        <v>1</v>
      </c>
      <c r="AC25" s="1811">
        <f>D25/J25</f>
        <v>1</v>
      </c>
    </row>
    <row r="26" spans="1:29" ht="28.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5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2"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2"/>
      <c r="Q28" s="1810" t="str">
        <f t="shared" si="11"/>
        <v>物业等级</v>
      </c>
      <c r="R28" s="774" t="s">
        <v>17</v>
      </c>
      <c r="S28" s="775">
        <f t="shared" si="12"/>
        <v>100</v>
      </c>
      <c r="T28" s="774" t="s">
        <v>17</v>
      </c>
      <c r="U28" s="775">
        <f t="shared" si="13"/>
        <v>100</v>
      </c>
      <c r="V28" s="774" t="s">
        <v>17</v>
      </c>
      <c r="W28" s="775">
        <f t="shared" si="14"/>
        <v>100</v>
      </c>
      <c r="X28" s="1813"/>
      <c r="Y28" s="3232"/>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2"/>
      <c r="Q29" s="1810" t="str">
        <f t="shared" si="11"/>
        <v>有无电梯</v>
      </c>
      <c r="R29" s="774" t="s">
        <v>17</v>
      </c>
      <c r="S29" s="775">
        <f t="shared" si="12"/>
        <v>100</v>
      </c>
      <c r="T29" s="774" t="s">
        <v>17</v>
      </c>
      <c r="U29" s="775">
        <f t="shared" si="13"/>
        <v>100</v>
      </c>
      <c r="V29" s="774" t="s">
        <v>17</v>
      </c>
      <c r="W29" s="775">
        <f t="shared" si="14"/>
        <v>100</v>
      </c>
      <c r="X29" s="1813"/>
      <c r="Y29" s="3232"/>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2"/>
      <c r="Q30" s="1810" t="str">
        <f t="shared" si="11"/>
        <v>建筑面积</v>
      </c>
      <c r="R30" s="774" t="s">
        <v>17</v>
      </c>
      <c r="S30" s="775" t="e">
        <f t="shared" si="12"/>
        <v>#N/A</v>
      </c>
      <c r="T30" s="774" t="s">
        <v>17</v>
      </c>
      <c r="U30" s="775" t="e">
        <f t="shared" si="13"/>
        <v>#N/A</v>
      </c>
      <c r="V30" s="774" t="s">
        <v>17</v>
      </c>
      <c r="W30" s="775" t="e">
        <f t="shared" si="14"/>
        <v>#N/A</v>
      </c>
      <c r="X30" s="1813"/>
      <c r="Y30" s="3232"/>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2"/>
      <c r="Q31" s="1795"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2" t="s">
        <v>2566</v>
      </c>
      <c r="Q32" s="1810">
        <f t="shared" si="11"/>
        <v>111</v>
      </c>
      <c r="R32" s="774" t="s">
        <v>17</v>
      </c>
      <c r="S32" s="775">
        <f t="shared" si="12"/>
        <v>100</v>
      </c>
      <c r="T32" s="774" t="s">
        <v>17</v>
      </c>
      <c r="U32" s="775">
        <f t="shared" si="13"/>
        <v>100</v>
      </c>
      <c r="V32" s="774" t="s">
        <v>17</v>
      </c>
      <c r="W32" s="775">
        <f t="shared" si="14"/>
        <v>100</v>
      </c>
      <c r="X32" s="1813"/>
      <c r="Y32" s="3232" t="s">
        <v>2566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2"/>
      <c r="Q33" s="1810">
        <f t="shared" si="11"/>
        <v>111</v>
      </c>
      <c r="R33" s="774" t="s">
        <v>17</v>
      </c>
      <c r="S33" s="775">
        <f t="shared" si="12"/>
        <v>100</v>
      </c>
      <c r="T33" s="774" t="s">
        <v>17</v>
      </c>
      <c r="U33" s="775">
        <f t="shared" si="13"/>
        <v>100</v>
      </c>
      <c r="V33" s="774" t="s">
        <v>17</v>
      </c>
      <c r="W33" s="775">
        <f t="shared" si="14"/>
        <v>100</v>
      </c>
      <c r="X33" s="1813"/>
      <c r="Y33" s="3232"/>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32"/>
      <c r="Q34" s="1810">
        <f t="shared" si="11"/>
        <v>111</v>
      </c>
      <c r="R34" s="774" t="s">
        <v>17</v>
      </c>
      <c r="S34" s="775">
        <f t="shared" si="12"/>
        <v>100</v>
      </c>
      <c r="T34" s="774" t="s">
        <v>17</v>
      </c>
      <c r="U34" s="775">
        <f t="shared" si="13"/>
        <v>100</v>
      </c>
      <c r="V34" s="774" t="s">
        <v>17</v>
      </c>
      <c r="W34" s="775">
        <f t="shared" si="14"/>
        <v>100</v>
      </c>
      <c r="X34" s="1813"/>
      <c r="Y34" s="3232"/>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22" t="str">
        <f>A37</f>
        <v>估价对象XX用房的比较价值（楼面单价，元/平方米）</v>
      </c>
      <c r="Q37" s="3223"/>
      <c r="R37" s="3224" t="e">
        <f>IF(F1="售价",ROUND(AVERAGE(R36:V36),0),ROUND(AVERAGE(R36:V36),1))</f>
        <v>#DIV/0!</v>
      </c>
      <c r="S37" s="3224"/>
      <c r="T37" s="3224"/>
      <c r="U37" s="3224"/>
      <c r="V37" s="3224"/>
      <c r="W37" s="322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191" t="s">
        <v>2649</v>
      </c>
      <c r="AC4" s="3190" t="s">
        <v>2650</v>
      </c>
    </row>
    <row r="5" spans="1:30" ht="15">
      <c r="A5" s="404"/>
      <c r="B5" s="405"/>
      <c r="C5" s="3201" t="s">
        <v>2543</v>
      </c>
      <c r="D5" s="3202"/>
      <c r="E5" s="3199" t="s">
        <v>2544</v>
      </c>
      <c r="F5" s="3200"/>
      <c r="G5" s="3201" t="s">
        <v>2545</v>
      </c>
      <c r="H5" s="3202"/>
      <c r="I5" s="3201" t="s">
        <v>2546</v>
      </c>
      <c r="J5" s="3202"/>
      <c r="K5" s="610"/>
      <c r="L5" s="1130"/>
      <c r="M5" s="1131"/>
      <c r="N5" s="1131"/>
      <c r="O5" s="1131"/>
      <c r="P5" s="3214"/>
      <c r="Q5" s="3215"/>
      <c r="R5" s="3197"/>
      <c r="S5" s="3198"/>
      <c r="T5" s="3197"/>
      <c r="U5" s="3198"/>
      <c r="V5" s="3220"/>
      <c r="W5" s="3220"/>
      <c r="X5" s="1813"/>
      <c r="Y5" s="3197"/>
      <c r="Z5" s="3198"/>
      <c r="AA5" s="3191"/>
      <c r="AB5" s="3191"/>
      <c r="AC5" s="3191"/>
    </row>
    <row r="6" spans="1:30" ht="15.75" thickBot="1">
      <c r="A6" s="406"/>
      <c r="B6" s="407"/>
      <c r="C6" s="3203" t="s">
        <v>2547</v>
      </c>
      <c r="D6" s="3204"/>
      <c r="E6" s="3205" t="s">
        <v>2547</v>
      </c>
      <c r="F6" s="3206"/>
      <c r="G6" s="3203" t="s">
        <v>2547</v>
      </c>
      <c r="H6" s="3204"/>
      <c r="I6" s="3203" t="s">
        <v>2547</v>
      </c>
      <c r="J6" s="3204"/>
      <c r="K6" s="610" t="s">
        <v>2548</v>
      </c>
      <c r="L6" s="1130"/>
      <c r="M6" s="1131"/>
      <c r="N6" s="1131"/>
      <c r="O6" s="1131"/>
      <c r="P6" s="3216"/>
      <c r="Q6" s="3217"/>
      <c r="R6" s="3197"/>
      <c r="S6" s="3198"/>
      <c r="T6" s="3218"/>
      <c r="U6" s="3219"/>
      <c r="V6" s="3220"/>
      <c r="W6" s="3220"/>
      <c r="X6" s="1813"/>
      <c r="Y6" s="3218"/>
      <c r="Z6" s="3219"/>
      <c r="AA6" s="3192"/>
      <c r="AB6" s="3192"/>
      <c r="AC6" s="3192"/>
    </row>
    <row r="7" spans="1:30" s="117" customFormat="1" ht="15.75" thickBot="1">
      <c r="A7" s="408" t="s">
        <v>2549</v>
      </c>
      <c r="B7" s="409"/>
      <c r="C7" s="410">
        <f>'数据-取费表'!B2</f>
        <v>43619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25"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25"/>
      <c r="Q10" s="1795" t="str">
        <f t="shared" si="6"/>
        <v>土地使用年限（年）</v>
      </c>
      <c r="R10" s="770" t="s">
        <v>17</v>
      </c>
      <c r="S10" s="771">
        <f t="shared" si="0"/>
        <v>104</v>
      </c>
      <c r="T10" s="770" t="s">
        <v>17</v>
      </c>
      <c r="U10" s="771">
        <f t="shared" si="1"/>
        <v>104</v>
      </c>
      <c r="V10" s="770" t="s">
        <v>17</v>
      </c>
      <c r="W10" s="771">
        <f t="shared" si="2"/>
        <v>104</v>
      </c>
      <c r="X10" s="772"/>
      <c r="Y10" s="3040"/>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5"/>
      <c r="Q12" s="1795"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2560</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7" t="s">
        <v>2561</v>
      </c>
      <c r="Q15" s="1810" t="str">
        <f t="shared" si="6"/>
        <v>居住社区成熟度</v>
      </c>
      <c r="R15" s="774" t="s">
        <v>17</v>
      </c>
      <c r="S15" s="775">
        <f t="shared" si="0"/>
        <v>100</v>
      </c>
      <c r="T15" s="774" t="s">
        <v>17</v>
      </c>
      <c r="U15" s="775">
        <f t="shared" si="1"/>
        <v>100</v>
      </c>
      <c r="V15" s="774" t="s">
        <v>17</v>
      </c>
      <c r="W15" s="775">
        <f t="shared" si="2"/>
        <v>100</v>
      </c>
      <c r="X15" s="1813"/>
      <c r="Y15" s="3227" t="s">
        <v>2561</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28"/>
      <c r="Q16" s="1810"/>
      <c r="R16" s="774"/>
      <c r="S16" s="775"/>
      <c r="T16" s="774"/>
      <c r="U16" s="775"/>
      <c r="V16" s="774"/>
      <c r="W16" s="775"/>
      <c r="X16" s="1813"/>
      <c r="Y16" s="3228"/>
      <c r="Z16" s="1814"/>
      <c r="AA16" s="1811">
        <v>1</v>
      </c>
      <c r="AB16" s="1811">
        <v>1</v>
      </c>
      <c r="AC16" s="1811">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8"/>
      <c r="Q17" s="1810" t="str">
        <f>B17</f>
        <v>商业繁华度</v>
      </c>
      <c r="R17" s="774" t="s">
        <v>17</v>
      </c>
      <c r="S17" s="775">
        <f>F17</f>
        <v>100</v>
      </c>
      <c r="T17" s="774" t="s">
        <v>17</v>
      </c>
      <c r="U17" s="775">
        <f>H17</f>
        <v>100</v>
      </c>
      <c r="V17" s="774" t="s">
        <v>17</v>
      </c>
      <c r="W17" s="775">
        <f>J17</f>
        <v>100</v>
      </c>
      <c r="X17" s="1813"/>
      <c r="Y17" s="3228"/>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28"/>
      <c r="Q18" s="1810"/>
      <c r="R18" s="774"/>
      <c r="S18" s="775"/>
      <c r="T18" s="774"/>
      <c r="U18" s="775"/>
      <c r="V18" s="774"/>
      <c r="W18" s="775"/>
      <c r="X18" s="1813"/>
      <c r="Y18" s="3228"/>
      <c r="Z18" s="1814"/>
      <c r="AA18" s="1811">
        <v>1</v>
      </c>
      <c r="AB18" s="1811">
        <v>1</v>
      </c>
      <c r="AC18" s="1811">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8"/>
      <c r="Q19" s="1810" t="str">
        <f>B19</f>
        <v>办公集聚程度</v>
      </c>
      <c r="R19" s="774" t="s">
        <v>17</v>
      </c>
      <c r="S19" s="775">
        <f>F19</f>
        <v>100</v>
      </c>
      <c r="T19" s="774" t="s">
        <v>17</v>
      </c>
      <c r="U19" s="775">
        <f>H19</f>
        <v>100</v>
      </c>
      <c r="V19" s="774" t="s">
        <v>17</v>
      </c>
      <c r="W19" s="775">
        <f>J19</f>
        <v>100</v>
      </c>
      <c r="X19" s="1813"/>
      <c r="Y19" s="3228"/>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28"/>
      <c r="Q20" s="1810"/>
      <c r="R20" s="774"/>
      <c r="S20" s="775"/>
      <c r="T20" s="774"/>
      <c r="U20" s="775"/>
      <c r="V20" s="774"/>
      <c r="W20" s="775"/>
      <c r="X20" s="1813"/>
      <c r="Y20" s="3228"/>
      <c r="Z20" s="1814"/>
      <c r="AA20" s="1811">
        <v>1</v>
      </c>
      <c r="AB20" s="1811">
        <v>1</v>
      </c>
      <c r="AC20" s="1811">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8"/>
      <c r="Q21" s="1810" t="str">
        <f>B21</f>
        <v>交通便捷度</v>
      </c>
      <c r="R21" s="774" t="s">
        <v>17</v>
      </c>
      <c r="S21" s="775">
        <f>F21</f>
        <v>100</v>
      </c>
      <c r="T21" s="774" t="s">
        <v>17</v>
      </c>
      <c r="U21" s="775">
        <f>H21</f>
        <v>100</v>
      </c>
      <c r="V21" s="774" t="s">
        <v>17</v>
      </c>
      <c r="W21" s="775">
        <f>J21</f>
        <v>100</v>
      </c>
      <c r="X21" s="1813"/>
      <c r="Y21" s="3228"/>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28"/>
      <c r="Q22" s="1810"/>
      <c r="R22" s="774"/>
      <c r="S22" s="775"/>
      <c r="T22" s="774"/>
      <c r="U22" s="775"/>
      <c r="V22" s="774"/>
      <c r="W22" s="775"/>
      <c r="X22" s="1813"/>
      <c r="Y22" s="3228"/>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8"/>
      <c r="Q23" s="1810" t="str">
        <f t="shared" ref="Q23:Q37" si="8">B23</f>
        <v>区域土地利用方向</v>
      </c>
      <c r="R23" s="774" t="s">
        <v>17</v>
      </c>
      <c r="S23" s="775">
        <f>F23</f>
        <v>100</v>
      </c>
      <c r="T23" s="774" t="s">
        <v>17</v>
      </c>
      <c r="U23" s="775">
        <f>H23</f>
        <v>100</v>
      </c>
      <c r="V23" s="774" t="s">
        <v>17</v>
      </c>
      <c r="W23" s="775">
        <f>J23</f>
        <v>100</v>
      </c>
      <c r="X23" s="1813"/>
      <c r="Y23" s="3228"/>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28"/>
      <c r="Q24" s="1810"/>
      <c r="R24" s="774"/>
      <c r="S24" s="775"/>
      <c r="T24" s="774"/>
      <c r="U24" s="775"/>
      <c r="V24" s="774"/>
      <c r="W24" s="775"/>
      <c r="X24" s="1813"/>
      <c r="Y24" s="3228"/>
      <c r="Z24" s="1814"/>
      <c r="AA24" s="1811"/>
      <c r="AB24" s="1811"/>
      <c r="AC24" s="1811"/>
    </row>
    <row r="25" spans="1:29" ht="57">
      <c r="A25" s="404"/>
      <c r="B25" s="1384"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8"/>
      <c r="Q25" s="1810" t="str">
        <f t="shared" si="8"/>
        <v>自然及人文环境状况</v>
      </c>
      <c r="R25" s="774" t="s">
        <v>17</v>
      </c>
      <c r="S25" s="775">
        <f>F25</f>
        <v>100</v>
      </c>
      <c r="T25" s="774" t="s">
        <v>17</v>
      </c>
      <c r="U25" s="775">
        <f>H25</f>
        <v>100</v>
      </c>
      <c r="V25" s="774" t="s">
        <v>17</v>
      </c>
      <c r="W25" s="775">
        <f>J25</f>
        <v>100</v>
      </c>
      <c r="X25" s="1813"/>
      <c r="Y25" s="3228"/>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28"/>
      <c r="Q26" s="1810"/>
      <c r="R26" s="774"/>
      <c r="S26" s="775"/>
      <c r="T26" s="774"/>
      <c r="U26" s="775"/>
      <c r="V26" s="774"/>
      <c r="W26" s="775"/>
      <c r="X26" s="1813"/>
      <c r="Y26" s="3228"/>
      <c r="Z26" s="1814"/>
      <c r="AA26" s="1811">
        <v>1</v>
      </c>
      <c r="AB26" s="1811">
        <v>1</v>
      </c>
      <c r="AC26" s="1811">
        <v>1</v>
      </c>
    </row>
    <row r="27" spans="1:29" s="117" customFormat="1" ht="42.75">
      <c r="A27" s="649"/>
      <c r="B27" s="1384"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8"/>
      <c r="Q27" s="1795" t="str">
        <f t="shared" si="8"/>
        <v>公共配套设施</v>
      </c>
      <c r="R27" s="770" t="s">
        <v>17</v>
      </c>
      <c r="S27" s="771">
        <f>F27</f>
        <v>100</v>
      </c>
      <c r="T27" s="770" t="s">
        <v>17</v>
      </c>
      <c r="U27" s="771">
        <f>H27</f>
        <v>100</v>
      </c>
      <c r="V27" s="770" t="s">
        <v>17</v>
      </c>
      <c r="W27" s="771">
        <f>J27</f>
        <v>100</v>
      </c>
      <c r="X27" s="772"/>
      <c r="Y27" s="3228"/>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28"/>
      <c r="Q28" s="1795"/>
      <c r="R28" s="770"/>
      <c r="S28" s="771"/>
      <c r="T28" s="770"/>
      <c r="U28" s="771"/>
      <c r="V28" s="770"/>
      <c r="W28" s="771"/>
      <c r="X28" s="772"/>
      <c r="Y28" s="3228"/>
      <c r="Z28" s="55"/>
      <c r="AA28" s="1811">
        <v>1</v>
      </c>
      <c r="AB28" s="1811">
        <v>1</v>
      </c>
      <c r="AC28" s="1811">
        <v>1</v>
      </c>
    </row>
    <row r="29" spans="1:29" s="117" customFormat="1" ht="28.5">
      <c r="A29" s="649"/>
      <c r="B29" s="1384"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8"/>
      <c r="Q29" s="1795"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28"/>
      <c r="Q30" s="1795"/>
      <c r="R30" s="770"/>
      <c r="S30" s="771"/>
      <c r="T30" s="770"/>
      <c r="U30" s="771"/>
      <c r="V30" s="770"/>
      <c r="W30" s="771"/>
      <c r="X30" s="772"/>
      <c r="Y30" s="3228"/>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8"/>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8"/>
      <c r="Q32" s="1810" t="str">
        <f t="shared" si="8"/>
        <v>毗邻道路的类型与等级</v>
      </c>
      <c r="R32" s="774" t="s">
        <v>17</v>
      </c>
      <c r="S32" s="775">
        <f t="shared" si="10"/>
        <v>100</v>
      </c>
      <c r="T32" s="774" t="s">
        <v>17</v>
      </c>
      <c r="U32" s="775">
        <f t="shared" si="11"/>
        <v>100</v>
      </c>
      <c r="V32" s="774" t="s">
        <v>17</v>
      </c>
      <c r="W32" s="775">
        <f t="shared" si="12"/>
        <v>100</v>
      </c>
      <c r="X32" s="1813"/>
      <c r="Y32" s="3228"/>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28"/>
      <c r="Q33" s="1810"/>
      <c r="R33" s="774"/>
      <c r="S33" s="775"/>
      <c r="T33" s="774"/>
      <c r="U33" s="775"/>
      <c r="V33" s="774"/>
      <c r="W33" s="775"/>
      <c r="X33" s="1813"/>
      <c r="Y33" s="3228"/>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8"/>
      <c r="Q34" s="1810" t="str">
        <f t="shared" si="8"/>
        <v>土地级别</v>
      </c>
      <c r="R34" s="774" t="s">
        <v>17</v>
      </c>
      <c r="S34" s="775">
        <f t="shared" si="10"/>
        <v>100</v>
      </c>
      <c r="T34" s="774" t="s">
        <v>17</v>
      </c>
      <c r="U34" s="775">
        <f t="shared" si="11"/>
        <v>100</v>
      </c>
      <c r="V34" s="774" t="s">
        <v>17</v>
      </c>
      <c r="W34" s="775">
        <f t="shared" si="12"/>
        <v>100</v>
      </c>
      <c r="X34" s="1813"/>
      <c r="Y34" s="322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8"/>
      <c r="Q35" s="1810">
        <f t="shared" si="8"/>
        <v>111</v>
      </c>
      <c r="R35" s="774" t="s">
        <v>17</v>
      </c>
      <c r="S35" s="775">
        <f t="shared" si="10"/>
        <v>100</v>
      </c>
      <c r="T35" s="774" t="s">
        <v>17</v>
      </c>
      <c r="U35" s="775">
        <f t="shared" si="11"/>
        <v>100</v>
      </c>
      <c r="V35" s="774" t="s">
        <v>17</v>
      </c>
      <c r="W35" s="775">
        <f t="shared" si="12"/>
        <v>100</v>
      </c>
      <c r="X35" s="1813"/>
      <c r="Y35" s="322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2566</v>
      </c>
      <c r="Q36" s="1810">
        <f t="shared" si="8"/>
        <v>111</v>
      </c>
      <c r="R36" s="774" t="s">
        <v>17</v>
      </c>
      <c r="S36" s="775">
        <f t="shared" si="10"/>
        <v>100</v>
      </c>
      <c r="T36" s="774" t="s">
        <v>17</v>
      </c>
      <c r="U36" s="775">
        <f t="shared" si="11"/>
        <v>100</v>
      </c>
      <c r="V36" s="774" t="s">
        <v>17</v>
      </c>
      <c r="W36" s="775">
        <f t="shared" si="12"/>
        <v>100</v>
      </c>
      <c r="X36" s="1813"/>
      <c r="Y36" s="3232"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2"/>
      <c r="Q37" s="1810">
        <f t="shared" si="8"/>
        <v>111</v>
      </c>
      <c r="R37" s="777" t="s">
        <v>17</v>
      </c>
      <c r="S37" s="778">
        <f t="shared" si="10"/>
        <v>100</v>
      </c>
      <c r="T37" s="777" t="s">
        <v>17</v>
      </c>
      <c r="U37" s="778">
        <f t="shared" si="11"/>
        <v>100</v>
      </c>
      <c r="V37" s="777" t="s">
        <v>17</v>
      </c>
      <c r="W37" s="778">
        <f t="shared" si="12"/>
        <v>100</v>
      </c>
      <c r="X37" s="779"/>
      <c r="Y37" s="3232"/>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2"/>
      <c r="Q38" s="1810" t="str">
        <f>B38</f>
        <v>宗地面积</v>
      </c>
      <c r="R38" s="774" t="s">
        <v>17</v>
      </c>
      <c r="S38" s="775" t="e">
        <f t="shared" si="10"/>
        <v>#N/A</v>
      </c>
      <c r="T38" s="774" t="s">
        <v>17</v>
      </c>
      <c r="U38" s="775" t="e">
        <f t="shared" si="11"/>
        <v>#N/A</v>
      </c>
      <c r="V38" s="774" t="s">
        <v>17</v>
      </c>
      <c r="W38" s="775" t="e">
        <f t="shared" si="12"/>
        <v>#N/A</v>
      </c>
      <c r="X38" s="1813"/>
      <c r="Y38" s="3232"/>
      <c r="Z38" s="1814" t="str">
        <f t="shared" si="13"/>
        <v>宗地面积</v>
      </c>
      <c r="AA38" s="1811" t="e">
        <f t="shared" si="3"/>
        <v>#N/A</v>
      </c>
      <c r="AB38" s="1811" t="e">
        <f t="shared" si="4"/>
        <v>#N/A</v>
      </c>
      <c r="AC38" s="1811"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32"/>
      <c r="Q39" s="1810" t="str">
        <f t="shared" ref="Q39:Q45" si="14">B39</f>
        <v>宗地形状</v>
      </c>
      <c r="R39" s="774" t="s">
        <v>17</v>
      </c>
      <c r="S39" s="775">
        <f t="shared" si="10"/>
        <v>100</v>
      </c>
      <c r="T39" s="774" t="s">
        <v>17</v>
      </c>
      <c r="U39" s="775">
        <f t="shared" si="11"/>
        <v>100</v>
      </c>
      <c r="V39" s="774" t="s">
        <v>17</v>
      </c>
      <c r="W39" s="775">
        <f t="shared" si="12"/>
        <v>100</v>
      </c>
      <c r="X39" s="1813"/>
      <c r="Y39" s="3232"/>
      <c r="Z39" s="1814" t="str">
        <f t="shared" si="13"/>
        <v>宗地形状</v>
      </c>
      <c r="AA39" s="1811">
        <f t="shared" si="3"/>
        <v>1</v>
      </c>
      <c r="AB39" s="1811">
        <f t="shared" si="4"/>
        <v>1</v>
      </c>
      <c r="AC39" s="1811">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32"/>
      <c r="Q40" s="1810" t="str">
        <f t="shared" si="14"/>
        <v>临街宽度及深度</v>
      </c>
      <c r="R40" s="774" t="s">
        <v>17</v>
      </c>
      <c r="S40" s="775">
        <f t="shared" si="10"/>
        <v>100</v>
      </c>
      <c r="T40" s="774" t="s">
        <v>17</v>
      </c>
      <c r="U40" s="775">
        <f t="shared" si="11"/>
        <v>100</v>
      </c>
      <c r="V40" s="774" t="s">
        <v>17</v>
      </c>
      <c r="W40" s="775">
        <f t="shared" si="12"/>
        <v>100</v>
      </c>
      <c r="X40" s="1813"/>
      <c r="Y40" s="3232"/>
      <c r="Z40" s="1814" t="str">
        <f t="shared" si="13"/>
        <v>临街宽度及深度</v>
      </c>
      <c r="AA40" s="1811">
        <f t="shared" si="3"/>
        <v>1</v>
      </c>
      <c r="AB40" s="1811">
        <f t="shared" si="4"/>
        <v>1</v>
      </c>
      <c r="AC40" s="1811">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32"/>
      <c r="Q41" s="1810"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32" t="s">
        <v>2566</v>
      </c>
      <c r="Q42" s="1810" t="str">
        <f t="shared" si="14"/>
        <v>工程地质条件</v>
      </c>
      <c r="R42" s="774" t="s">
        <v>17</v>
      </c>
      <c r="S42" s="775">
        <f t="shared" si="10"/>
        <v>100</v>
      </c>
      <c r="T42" s="774" t="s">
        <v>17</v>
      </c>
      <c r="U42" s="775">
        <f t="shared" si="11"/>
        <v>100</v>
      </c>
      <c r="V42" s="774" t="s">
        <v>17</v>
      </c>
      <c r="W42" s="775">
        <f t="shared" si="12"/>
        <v>100</v>
      </c>
      <c r="X42" s="1813"/>
      <c r="Y42" s="3232"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2"/>
      <c r="Q43" s="1810">
        <f t="shared" si="14"/>
        <v>111</v>
      </c>
      <c r="R43" s="774" t="s">
        <v>17</v>
      </c>
      <c r="S43" s="775">
        <f t="shared" si="10"/>
        <v>100</v>
      </c>
      <c r="T43" s="774" t="s">
        <v>17</v>
      </c>
      <c r="U43" s="775">
        <f t="shared" si="11"/>
        <v>100</v>
      </c>
      <c r="V43" s="774" t="s">
        <v>17</v>
      </c>
      <c r="W43" s="775">
        <f t="shared" si="12"/>
        <v>100</v>
      </c>
      <c r="X43" s="1813"/>
      <c r="Y43" s="323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2"/>
      <c r="Q44" s="1810">
        <f t="shared" si="14"/>
        <v>111</v>
      </c>
      <c r="R44" s="774" t="s">
        <v>17</v>
      </c>
      <c r="S44" s="775">
        <f t="shared" si="10"/>
        <v>100</v>
      </c>
      <c r="T44" s="774" t="s">
        <v>17</v>
      </c>
      <c r="U44" s="775">
        <f t="shared" si="11"/>
        <v>100</v>
      </c>
      <c r="V44" s="774" t="s">
        <v>17</v>
      </c>
      <c r="W44" s="775">
        <f t="shared" si="12"/>
        <v>100</v>
      </c>
      <c r="X44" s="1813"/>
      <c r="Y44" s="3232"/>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2"/>
      <c r="Q45" s="1810">
        <f t="shared" si="14"/>
        <v>111</v>
      </c>
      <c r="R45" s="777" t="s">
        <v>17</v>
      </c>
      <c r="S45" s="778">
        <f t="shared" si="10"/>
        <v>100</v>
      </c>
      <c r="T45" s="777" t="s">
        <v>17</v>
      </c>
      <c r="U45" s="778">
        <f t="shared" si="11"/>
        <v>100</v>
      </c>
      <c r="V45" s="777" t="s">
        <v>17</v>
      </c>
      <c r="W45" s="778">
        <f t="shared" si="12"/>
        <v>100</v>
      </c>
      <c r="X45" s="779"/>
      <c r="Y45" s="3232"/>
      <c r="Z45" s="780">
        <f t="shared" si="13"/>
        <v>111</v>
      </c>
      <c r="AA45" s="1811">
        <f t="shared" si="3"/>
        <v>1</v>
      </c>
      <c r="AB45" s="1811">
        <f t="shared" si="4"/>
        <v>1</v>
      </c>
      <c r="AC45" s="1811">
        <f t="shared" si="5"/>
        <v>1</v>
      </c>
    </row>
    <row r="46" spans="1:29" ht="15">
      <c r="A46" s="479" t="s">
        <v>2721</v>
      </c>
      <c r="B46" s="2708" t="s">
        <v>2757</v>
      </c>
      <c r="C46" s="682" t="s">
        <v>1</v>
      </c>
      <c r="D46" s="481"/>
      <c r="E46" s="482"/>
      <c r="F46" s="483"/>
      <c r="G46" s="484"/>
      <c r="H46" s="485"/>
      <c r="I46" s="482"/>
      <c r="J46" s="485"/>
      <c r="K46" s="783"/>
      <c r="L46" s="1143"/>
      <c r="M46" s="1144"/>
      <c r="N46" s="1131"/>
      <c r="O46" s="1144"/>
      <c r="P46" s="3225" t="str">
        <f>A46</f>
        <v>成交单价</v>
      </c>
      <c r="Q46" s="3225"/>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25" t="str">
        <f>A47</f>
        <v>比较价值（元/平方米）</v>
      </c>
      <c r="Q47" s="3225"/>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22" t="str">
        <f>A48</f>
        <v>估价对象XX用房的比较价值（楼面单价，元/平方米）</v>
      </c>
      <c r="Q48" s="3223"/>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9" t="s">
        <v>2761</v>
      </c>
      <c r="D55" s="2710" t="s">
        <v>2762</v>
      </c>
      <c r="E55" s="686" t="s">
        <v>2763</v>
      </c>
      <c r="F55" s="1107" t="s">
        <v>2764</v>
      </c>
      <c r="G55" s="3208" t="s">
        <v>2765</v>
      </c>
      <c r="H55" s="3256"/>
      <c r="I55" s="144" t="s">
        <v>2766</v>
      </c>
      <c r="J55" s="2711">
        <f>项目基本情况!F35</f>
        <v>0</v>
      </c>
      <c r="K55" s="2712" t="s">
        <v>2767</v>
      </c>
      <c r="L55" s="1106"/>
      <c r="M55" s="1144"/>
      <c r="N55" s="1144"/>
      <c r="O55" s="1144"/>
    </row>
    <row r="56" spans="1:15" s="692" customFormat="1">
      <c r="A56" s="688" t="s">
        <v>2768</v>
      </c>
      <c r="B56" s="689" t="e">
        <f>C48</f>
        <v>#DIV/0!</v>
      </c>
      <c r="C56" s="690">
        <v>1</v>
      </c>
      <c r="D56" s="1163">
        <v>1</v>
      </c>
      <c r="E56" s="690">
        <f>'数据-汇总表'!E8+'数据-汇总表'!E9</f>
        <v>32225.339999999993</v>
      </c>
      <c r="F56" s="1103" t="e">
        <f t="shared" ref="F56:F65" si="15">ROUND(B56*E56/10000,0)</f>
        <v>#DIV/0!</v>
      </c>
      <c r="G56" s="3207"/>
      <c r="H56" s="3225"/>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57"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3"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3"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4"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32225.339999999993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5"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08" t="s">
        <v>2647</v>
      </c>
      <c r="D4" s="3209"/>
      <c r="E4" s="3210" t="s">
        <v>2648</v>
      </c>
      <c r="F4" s="3211"/>
      <c r="G4" s="3208" t="s">
        <v>2649</v>
      </c>
      <c r="H4" s="3209"/>
      <c r="I4" s="3208" t="s">
        <v>2650</v>
      </c>
      <c r="J4" s="3209"/>
      <c r="K4" s="610" t="s">
        <v>2651</v>
      </c>
      <c r="L4" s="1130"/>
      <c r="M4" s="1131"/>
      <c r="N4" s="1131"/>
      <c r="O4" s="1131"/>
      <c r="P4" s="3212" t="s">
        <v>2652</v>
      </c>
      <c r="Q4" s="3213"/>
      <c r="R4" s="3195" t="s">
        <v>2648</v>
      </c>
      <c r="S4" s="3196"/>
      <c r="T4" s="3195" t="s">
        <v>2649</v>
      </c>
      <c r="U4" s="3196"/>
      <c r="V4" s="3220" t="s">
        <v>2650</v>
      </c>
      <c r="W4" s="3220"/>
      <c r="X4" s="1813"/>
      <c r="Y4" s="3195" t="s">
        <v>2652</v>
      </c>
      <c r="Z4" s="3196"/>
      <c r="AA4" s="3190" t="s">
        <v>2648</v>
      </c>
      <c r="AB4" s="3191" t="s">
        <v>2649</v>
      </c>
      <c r="AC4" s="3190" t="s">
        <v>2650</v>
      </c>
    </row>
    <row r="5" spans="1:29" ht="15">
      <c r="A5" s="404"/>
      <c r="B5" s="405"/>
      <c r="C5" s="3201" t="s">
        <v>2543</v>
      </c>
      <c r="D5" s="3202"/>
      <c r="E5" s="3199" t="s">
        <v>2544</v>
      </c>
      <c r="F5" s="3200"/>
      <c r="G5" s="3201" t="s">
        <v>2545</v>
      </c>
      <c r="H5" s="3202"/>
      <c r="I5" s="3201" t="s">
        <v>2546</v>
      </c>
      <c r="J5" s="3202"/>
      <c r="K5" s="610"/>
      <c r="L5" s="1130"/>
      <c r="M5" s="1131"/>
      <c r="N5" s="1131"/>
      <c r="O5" s="1131"/>
      <c r="P5" s="3214"/>
      <c r="Q5" s="3215"/>
      <c r="R5" s="3197"/>
      <c r="S5" s="3198"/>
      <c r="T5" s="3197"/>
      <c r="U5" s="3198"/>
      <c r="V5" s="3220"/>
      <c r="W5" s="3220"/>
      <c r="X5" s="1813"/>
      <c r="Y5" s="3197"/>
      <c r="Z5" s="3198"/>
      <c r="AA5" s="3191"/>
      <c r="AB5" s="3191"/>
      <c r="AC5" s="3191"/>
    </row>
    <row r="6" spans="1:29" ht="15.75" thickBot="1">
      <c r="A6" s="406"/>
      <c r="B6" s="407"/>
      <c r="C6" s="3258" t="s">
        <v>2798</v>
      </c>
      <c r="D6" s="3259"/>
      <c r="E6" s="3260" t="s">
        <v>2798</v>
      </c>
      <c r="F6" s="3261"/>
      <c r="G6" s="3258" t="s">
        <v>2798</v>
      </c>
      <c r="H6" s="3259"/>
      <c r="I6" s="3258" t="s">
        <v>2798</v>
      </c>
      <c r="J6" s="3259"/>
      <c r="K6" s="610" t="s">
        <v>2548</v>
      </c>
      <c r="L6" s="1130"/>
      <c r="M6" s="1131"/>
      <c r="N6" s="1131"/>
      <c r="O6" s="1131"/>
      <c r="P6" s="3216"/>
      <c r="Q6" s="3217"/>
      <c r="R6" s="3197"/>
      <c r="S6" s="3198"/>
      <c r="T6" s="3218"/>
      <c r="U6" s="3219"/>
      <c r="V6" s="3220"/>
      <c r="W6" s="3220"/>
      <c r="X6" s="1813"/>
      <c r="Y6" s="3218"/>
      <c r="Z6" s="3219"/>
      <c r="AA6" s="3192"/>
      <c r="AB6" s="3192"/>
      <c r="AC6" s="3192"/>
    </row>
    <row r="7" spans="1:29" s="117" customFormat="1" ht="15.75" thickBot="1">
      <c r="A7" s="408" t="s">
        <v>2549</v>
      </c>
      <c r="B7" s="409"/>
      <c r="C7" s="410">
        <f>'数据-取费表'!B2</f>
        <v>43619</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93" t="s">
        <v>2550</v>
      </c>
      <c r="Q7" s="3221"/>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5" t="s">
        <v>2556</v>
      </c>
      <c r="Q9" s="1795"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25"/>
      <c r="Q10" s="1795" t="str">
        <f t="shared" si="6"/>
        <v>土地使用年限（年）</v>
      </c>
      <c r="R10" s="770" t="s">
        <v>17</v>
      </c>
      <c r="S10" s="771">
        <f t="shared" si="0"/>
        <v>104</v>
      </c>
      <c r="T10" s="770" t="s">
        <v>17</v>
      </c>
      <c r="U10" s="771">
        <f t="shared" si="1"/>
        <v>104</v>
      </c>
      <c r="V10" s="770" t="s">
        <v>17</v>
      </c>
      <c r="W10" s="771">
        <f t="shared" si="2"/>
        <v>104</v>
      </c>
      <c r="X10" s="772"/>
      <c r="Y10" s="3040"/>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5"/>
      <c r="Q11" s="1795"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5"/>
      <c r="Q12" s="1795">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5"/>
      <c r="Q13" s="1795">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5"/>
      <c r="Q14" s="1795">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7" t="s">
        <v>2561</v>
      </c>
      <c r="Q15" s="1810" t="str">
        <f t="shared" si="6"/>
        <v>产业集聚程度</v>
      </c>
      <c r="R15" s="774" t="s">
        <v>17</v>
      </c>
      <c r="S15" s="775">
        <f t="shared" si="0"/>
        <v>100</v>
      </c>
      <c r="T15" s="774" t="s">
        <v>17</v>
      </c>
      <c r="U15" s="775">
        <f t="shared" si="1"/>
        <v>100</v>
      </c>
      <c r="V15" s="774" t="s">
        <v>17</v>
      </c>
      <c r="W15" s="775">
        <f t="shared" si="2"/>
        <v>100</v>
      </c>
      <c r="X15" s="1813"/>
      <c r="Y15" s="3227" t="s">
        <v>2561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28"/>
      <c r="Q16" s="1810"/>
      <c r="R16" s="774"/>
      <c r="S16" s="775"/>
      <c r="T16" s="774"/>
      <c r="U16" s="775"/>
      <c r="V16" s="774"/>
      <c r="W16" s="775"/>
      <c r="X16" s="1813"/>
      <c r="Y16" s="3228"/>
      <c r="Z16" s="1814"/>
      <c r="AA16" s="1811">
        <v>1</v>
      </c>
      <c r="AB16" s="1811">
        <v>1</v>
      </c>
      <c r="AC16" s="1811">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8"/>
      <c r="Q17" s="1810" t="str">
        <f>B17</f>
        <v>交通便捷度</v>
      </c>
      <c r="R17" s="774" t="s">
        <v>17</v>
      </c>
      <c r="S17" s="775">
        <f>F17</f>
        <v>100</v>
      </c>
      <c r="T17" s="774" t="s">
        <v>17</v>
      </c>
      <c r="U17" s="775">
        <f>H17</f>
        <v>100</v>
      </c>
      <c r="V17" s="774" t="s">
        <v>17</v>
      </c>
      <c r="W17" s="775">
        <f>J17</f>
        <v>100</v>
      </c>
      <c r="X17" s="1813"/>
      <c r="Y17" s="3228"/>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28"/>
      <c r="Q18" s="1810"/>
      <c r="R18" s="774"/>
      <c r="S18" s="775"/>
      <c r="T18" s="774"/>
      <c r="U18" s="775"/>
      <c r="V18" s="774"/>
      <c r="W18" s="775"/>
      <c r="X18" s="1813"/>
      <c r="Y18" s="3228"/>
      <c r="Z18" s="1814"/>
      <c r="AA18" s="1811">
        <v>1</v>
      </c>
      <c r="AB18" s="1811">
        <v>1</v>
      </c>
      <c r="AC18" s="1811">
        <v>1</v>
      </c>
    </row>
    <row r="19" spans="1:29" ht="15">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8"/>
      <c r="Q19" s="1810" t="str">
        <f t="shared" ref="Q19:Q33" si="8">B19</f>
        <v>区域土地利用方向</v>
      </c>
      <c r="R19" s="774" t="s">
        <v>17</v>
      </c>
      <c r="S19" s="775">
        <f>F19</f>
        <v>100</v>
      </c>
      <c r="T19" s="774" t="s">
        <v>17</v>
      </c>
      <c r="U19" s="775">
        <f>H19</f>
        <v>100</v>
      </c>
      <c r="V19" s="774" t="s">
        <v>17</v>
      </c>
      <c r="W19" s="775">
        <f>J19</f>
        <v>100</v>
      </c>
      <c r="X19" s="1813"/>
      <c r="Y19" s="3228"/>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28"/>
      <c r="Q20" s="1810"/>
      <c r="R20" s="774"/>
      <c r="S20" s="775"/>
      <c r="T20" s="774"/>
      <c r="U20" s="775"/>
      <c r="V20" s="774"/>
      <c r="W20" s="775"/>
      <c r="X20" s="1813"/>
      <c r="Y20" s="3228"/>
      <c r="Z20" s="1814"/>
      <c r="AA20" s="1811"/>
      <c r="AB20" s="1811"/>
      <c r="AC20" s="1811"/>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8"/>
      <c r="Q21" s="1810" t="str">
        <f t="shared" si="8"/>
        <v>环境状况</v>
      </c>
      <c r="R21" s="774" t="s">
        <v>17</v>
      </c>
      <c r="S21" s="775">
        <f>F21</f>
        <v>100</v>
      </c>
      <c r="T21" s="774" t="s">
        <v>17</v>
      </c>
      <c r="U21" s="775">
        <f>H21</f>
        <v>100</v>
      </c>
      <c r="V21" s="774" t="s">
        <v>17</v>
      </c>
      <c r="W21" s="775">
        <f>J21</f>
        <v>100</v>
      </c>
      <c r="X21" s="1813"/>
      <c r="Y21" s="3228"/>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28"/>
      <c r="Q22" s="1810"/>
      <c r="R22" s="774"/>
      <c r="S22" s="775"/>
      <c r="T22" s="774"/>
      <c r="U22" s="775"/>
      <c r="V22" s="774"/>
      <c r="W22" s="775"/>
      <c r="X22" s="1813"/>
      <c r="Y22" s="3228"/>
      <c r="Z22" s="1814"/>
      <c r="AA22" s="1811">
        <v>1</v>
      </c>
      <c r="AB22" s="1811">
        <v>1</v>
      </c>
      <c r="AC22" s="1811">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8"/>
      <c r="Q23" s="1795" t="str">
        <f t="shared" si="8"/>
        <v>公共配套设施</v>
      </c>
      <c r="R23" s="770" t="s">
        <v>17</v>
      </c>
      <c r="S23" s="771">
        <f>F23</f>
        <v>100</v>
      </c>
      <c r="T23" s="770" t="s">
        <v>17</v>
      </c>
      <c r="U23" s="771">
        <f>H23</f>
        <v>100</v>
      </c>
      <c r="V23" s="770" t="s">
        <v>17</v>
      </c>
      <c r="W23" s="771">
        <f>J23</f>
        <v>100</v>
      </c>
      <c r="X23" s="772"/>
      <c r="Y23" s="3228"/>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28"/>
      <c r="Q24" s="1795"/>
      <c r="R24" s="770"/>
      <c r="S24" s="771"/>
      <c r="T24" s="770"/>
      <c r="U24" s="771"/>
      <c r="V24" s="770"/>
      <c r="W24" s="771"/>
      <c r="X24" s="772"/>
      <c r="Y24" s="3228"/>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8"/>
      <c r="Q25" s="1795"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28"/>
      <c r="Q26" s="1795"/>
      <c r="R26" s="770"/>
      <c r="S26" s="771"/>
      <c r="T26" s="770"/>
      <c r="U26" s="771"/>
      <c r="V26" s="770"/>
      <c r="W26" s="771"/>
      <c r="X26" s="772"/>
      <c r="Y26" s="322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8"/>
      <c r="Z27" s="1814" t="str">
        <f t="shared" ref="Z27:Z40" si="13">Q27</f>
        <v>临街状况</v>
      </c>
      <c r="AA27" s="1811">
        <f t="shared" si="3"/>
        <v>1</v>
      </c>
      <c r="AB27" s="1811">
        <f t="shared" si="4"/>
        <v>1</v>
      </c>
      <c r="AC27" s="1811">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8"/>
      <c r="Q28" s="1810" t="str">
        <f t="shared" si="8"/>
        <v>毗邻道路的类型与等级</v>
      </c>
      <c r="R28" s="774" t="s">
        <v>17</v>
      </c>
      <c r="S28" s="775">
        <f t="shared" si="10"/>
        <v>100</v>
      </c>
      <c r="T28" s="774" t="s">
        <v>17</v>
      </c>
      <c r="U28" s="775">
        <f t="shared" si="11"/>
        <v>100</v>
      </c>
      <c r="V28" s="774" t="s">
        <v>17</v>
      </c>
      <c r="W28" s="775">
        <f t="shared" si="12"/>
        <v>100</v>
      </c>
      <c r="X28" s="1813"/>
      <c r="Y28" s="3228"/>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28"/>
      <c r="Q29" s="1810"/>
      <c r="R29" s="774"/>
      <c r="S29" s="775"/>
      <c r="T29" s="774"/>
      <c r="U29" s="775"/>
      <c r="V29" s="774"/>
      <c r="W29" s="775"/>
      <c r="X29" s="1813"/>
      <c r="Y29" s="3228"/>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8"/>
      <c r="Q30" s="1810" t="str">
        <f t="shared" si="8"/>
        <v>土地级别</v>
      </c>
      <c r="R30" s="774" t="s">
        <v>17</v>
      </c>
      <c r="S30" s="775">
        <f t="shared" si="10"/>
        <v>100</v>
      </c>
      <c r="T30" s="774" t="s">
        <v>17</v>
      </c>
      <c r="U30" s="775">
        <f t="shared" si="11"/>
        <v>100</v>
      </c>
      <c r="V30" s="774" t="s">
        <v>17</v>
      </c>
      <c r="W30" s="775">
        <f t="shared" si="12"/>
        <v>100</v>
      </c>
      <c r="X30" s="1813"/>
      <c r="Y30" s="3228"/>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8"/>
      <c r="Q31" s="1810">
        <f t="shared" si="8"/>
        <v>111</v>
      </c>
      <c r="R31" s="774" t="s">
        <v>17</v>
      </c>
      <c r="S31" s="775">
        <f t="shared" si="10"/>
        <v>100</v>
      </c>
      <c r="T31" s="774" t="s">
        <v>17</v>
      </c>
      <c r="U31" s="775">
        <f t="shared" si="11"/>
        <v>100</v>
      </c>
      <c r="V31" s="774" t="s">
        <v>17</v>
      </c>
      <c r="W31" s="775">
        <f t="shared" si="12"/>
        <v>100</v>
      </c>
      <c r="X31" s="1813"/>
      <c r="Y31" s="3228"/>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2566</v>
      </c>
      <c r="Q32" s="1810">
        <f t="shared" si="8"/>
        <v>111</v>
      </c>
      <c r="R32" s="774" t="s">
        <v>17</v>
      </c>
      <c r="S32" s="775">
        <f t="shared" si="10"/>
        <v>100</v>
      </c>
      <c r="T32" s="774" t="s">
        <v>17</v>
      </c>
      <c r="U32" s="775">
        <f t="shared" si="11"/>
        <v>100</v>
      </c>
      <c r="V32" s="774" t="s">
        <v>17</v>
      </c>
      <c r="W32" s="775">
        <f t="shared" si="12"/>
        <v>100</v>
      </c>
      <c r="X32" s="1813"/>
      <c r="Y32" s="3232" t="s">
        <v>2566</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2"/>
      <c r="Q33" s="1810">
        <f t="shared" si="8"/>
        <v>111</v>
      </c>
      <c r="R33" s="777" t="s">
        <v>17</v>
      </c>
      <c r="S33" s="778">
        <f t="shared" si="10"/>
        <v>100</v>
      </c>
      <c r="T33" s="777" t="s">
        <v>17</v>
      </c>
      <c r="U33" s="778">
        <f t="shared" si="11"/>
        <v>100</v>
      </c>
      <c r="V33" s="777" t="s">
        <v>17</v>
      </c>
      <c r="W33" s="778">
        <f t="shared" si="12"/>
        <v>100</v>
      </c>
      <c r="X33" s="779"/>
      <c r="Y33" s="3232"/>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2"/>
      <c r="Q34" s="1810" t="str">
        <f>B34</f>
        <v>宗地面积</v>
      </c>
      <c r="R34" s="774" t="s">
        <v>17</v>
      </c>
      <c r="S34" s="775" t="e">
        <f t="shared" si="10"/>
        <v>#N/A</v>
      </c>
      <c r="T34" s="774" t="s">
        <v>17</v>
      </c>
      <c r="U34" s="775" t="e">
        <f t="shared" si="11"/>
        <v>#N/A</v>
      </c>
      <c r="V34" s="774" t="s">
        <v>17</v>
      </c>
      <c r="W34" s="775" t="e">
        <f t="shared" si="12"/>
        <v>#N/A</v>
      </c>
      <c r="X34" s="1813"/>
      <c r="Y34" s="3232"/>
      <c r="Z34" s="1814" t="str">
        <f t="shared" si="13"/>
        <v>宗地面积</v>
      </c>
      <c r="AA34" s="1811" t="e">
        <f t="shared" si="3"/>
        <v>#N/A</v>
      </c>
      <c r="AB34" s="1811" t="e">
        <f t="shared" si="4"/>
        <v>#N/A</v>
      </c>
      <c r="AC34" s="1811"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32"/>
      <c r="Q35" s="1810" t="str">
        <f t="shared" ref="Q35:Q40" si="14">B35</f>
        <v>宗地形状</v>
      </c>
      <c r="R35" s="774" t="s">
        <v>17</v>
      </c>
      <c r="S35" s="775">
        <f t="shared" si="10"/>
        <v>100</v>
      </c>
      <c r="T35" s="774" t="s">
        <v>17</v>
      </c>
      <c r="U35" s="775">
        <f t="shared" si="11"/>
        <v>100</v>
      </c>
      <c r="V35" s="774" t="s">
        <v>17</v>
      </c>
      <c r="W35" s="775">
        <f t="shared" si="12"/>
        <v>100</v>
      </c>
      <c r="X35" s="1813"/>
      <c r="Y35" s="3232"/>
      <c r="Z35" s="1814" t="str">
        <f t="shared" si="13"/>
        <v>宗地形状</v>
      </c>
      <c r="AA35" s="1811">
        <f t="shared" si="3"/>
        <v>1</v>
      </c>
      <c r="AB35" s="1811">
        <f t="shared" si="4"/>
        <v>1</v>
      </c>
      <c r="AC35" s="1811">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32"/>
      <c r="Q36" s="1810" t="str">
        <f t="shared" si="14"/>
        <v>宗地开发程度</v>
      </c>
      <c r="R36" s="770" t="s">
        <v>17</v>
      </c>
      <c r="S36" s="771">
        <f t="shared" si="10"/>
        <v>100</v>
      </c>
      <c r="T36" s="770" t="s">
        <v>17</v>
      </c>
      <c r="U36" s="771">
        <f t="shared" si="11"/>
        <v>100</v>
      </c>
      <c r="V36" s="770" t="s">
        <v>17</v>
      </c>
      <c r="W36" s="771">
        <f t="shared" si="12"/>
        <v>100</v>
      </c>
      <c r="X36" s="772"/>
      <c r="Y36" s="3232"/>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32" t="s">
        <v>2566</v>
      </c>
      <c r="Q37" s="1810" t="str">
        <f t="shared" si="14"/>
        <v>工程地质条件</v>
      </c>
      <c r="R37" s="774" t="s">
        <v>17</v>
      </c>
      <c r="S37" s="775">
        <f t="shared" si="10"/>
        <v>100</v>
      </c>
      <c r="T37" s="774" t="s">
        <v>17</v>
      </c>
      <c r="U37" s="775">
        <f t="shared" si="11"/>
        <v>100</v>
      </c>
      <c r="V37" s="774" t="s">
        <v>17</v>
      </c>
      <c r="W37" s="775">
        <f t="shared" si="12"/>
        <v>100</v>
      </c>
      <c r="X37" s="1813"/>
      <c r="Y37" s="3232"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2"/>
      <c r="Q38" s="1810">
        <f t="shared" si="14"/>
        <v>111</v>
      </c>
      <c r="R38" s="774" t="s">
        <v>17</v>
      </c>
      <c r="S38" s="775">
        <f t="shared" si="10"/>
        <v>100</v>
      </c>
      <c r="T38" s="774" t="s">
        <v>17</v>
      </c>
      <c r="U38" s="775">
        <f t="shared" si="11"/>
        <v>100</v>
      </c>
      <c r="V38" s="774" t="s">
        <v>17</v>
      </c>
      <c r="W38" s="775">
        <f t="shared" si="12"/>
        <v>100</v>
      </c>
      <c r="X38" s="1813"/>
      <c r="Y38" s="323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2"/>
      <c r="Q39" s="1810">
        <f t="shared" si="14"/>
        <v>111</v>
      </c>
      <c r="R39" s="774" t="s">
        <v>17</v>
      </c>
      <c r="S39" s="775">
        <f t="shared" si="10"/>
        <v>100</v>
      </c>
      <c r="T39" s="774" t="s">
        <v>17</v>
      </c>
      <c r="U39" s="775">
        <f t="shared" si="11"/>
        <v>100</v>
      </c>
      <c r="V39" s="774" t="s">
        <v>17</v>
      </c>
      <c r="W39" s="775">
        <f t="shared" si="12"/>
        <v>100</v>
      </c>
      <c r="X39" s="1813"/>
      <c r="Y39" s="3232"/>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2"/>
      <c r="Q40" s="1810">
        <f t="shared" si="14"/>
        <v>111</v>
      </c>
      <c r="R40" s="777" t="s">
        <v>17</v>
      </c>
      <c r="S40" s="778">
        <f t="shared" si="10"/>
        <v>100</v>
      </c>
      <c r="T40" s="777" t="s">
        <v>17</v>
      </c>
      <c r="U40" s="778">
        <f t="shared" si="11"/>
        <v>100</v>
      </c>
      <c r="V40" s="777" t="s">
        <v>17</v>
      </c>
      <c r="W40" s="778">
        <f t="shared" si="12"/>
        <v>100</v>
      </c>
      <c r="X40" s="779"/>
      <c r="Y40" s="3232"/>
      <c r="Z40" s="780">
        <f t="shared" si="13"/>
        <v>111</v>
      </c>
      <c r="AA40" s="1811">
        <f t="shared" si="3"/>
        <v>1</v>
      </c>
      <c r="AB40" s="1811">
        <f t="shared" si="4"/>
        <v>1</v>
      </c>
      <c r="AC40" s="1811">
        <f t="shared" si="5"/>
        <v>1</v>
      </c>
    </row>
    <row r="41" spans="1:29" ht="15">
      <c r="A41" s="479" t="s">
        <v>2721</v>
      </c>
      <c r="B41" s="2708" t="s">
        <v>2801</v>
      </c>
      <c r="C41" s="682" t="s">
        <v>1</v>
      </c>
      <c r="D41" s="481"/>
      <c r="E41" s="482"/>
      <c r="F41" s="483"/>
      <c r="G41" s="484"/>
      <c r="H41" s="485"/>
      <c r="I41" s="482"/>
      <c r="J41" s="485"/>
      <c r="K41" s="783"/>
      <c r="L41" s="1143"/>
      <c r="M41" s="1131"/>
      <c r="N41" s="1131"/>
      <c r="O41" s="1144"/>
      <c r="P41" s="3225" t="str">
        <f>A41</f>
        <v>成交单价</v>
      </c>
      <c r="Q41" s="3225"/>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25" t="str">
        <f>A42</f>
        <v>比较价值（元/平方米）</v>
      </c>
      <c r="Q42" s="3225"/>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22" t="str">
        <f>A43</f>
        <v>估价对象XX用房的比较价值（楼面单价，元/平方米）</v>
      </c>
      <c r="Q43" s="3223"/>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9" t="s">
        <v>2761</v>
      </c>
      <c r="D50" s="2710" t="s">
        <v>2762</v>
      </c>
      <c r="E50" s="686" t="s">
        <v>2763</v>
      </c>
      <c r="F50" s="687" t="s">
        <v>2764</v>
      </c>
      <c r="G50" s="3208" t="s">
        <v>2765</v>
      </c>
      <c r="H50" s="3256"/>
      <c r="I50" s="1814" t="s">
        <v>2802</v>
      </c>
      <c r="J50" s="1814">
        <f>项目基本情况!F35</f>
        <v>0</v>
      </c>
      <c r="K50" s="2712" t="s">
        <v>2767</v>
      </c>
      <c r="L50" s="1106"/>
      <c r="M50" s="1144"/>
      <c r="N50" s="1144"/>
      <c r="O50" s="1144"/>
    </row>
    <row r="51" spans="1:17" s="692" customFormat="1">
      <c r="A51" s="688" t="s">
        <v>2768</v>
      </c>
      <c r="B51" s="689" t="e">
        <f>C43</f>
        <v>#DIV/0!</v>
      </c>
      <c r="C51" s="690">
        <v>1</v>
      </c>
      <c r="D51" s="1163">
        <v>1</v>
      </c>
      <c r="E51" s="690">
        <f>'数据-汇总表'!E8+'数据-汇总表'!E9</f>
        <v>32225.339999999993</v>
      </c>
      <c r="F51" s="691" t="e">
        <f t="shared" ref="F51:F60" si="15">ROUND(B51*E51/10000,0)</f>
        <v>#DIV/0!</v>
      </c>
      <c r="G51" s="3207"/>
      <c r="H51" s="3225"/>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57"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3"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3"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4"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10174.82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5"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2805</v>
      </c>
      <c r="B1" s="241"/>
      <c r="C1" s="245" t="s">
        <v>2806</v>
      </c>
      <c r="D1" s="388">
        <f>SUM(D29:D30,D33:D39)</f>
        <v>0</v>
      </c>
      <c r="E1" s="2721"/>
      <c r="F1" s="2721"/>
      <c r="G1" s="2721"/>
      <c r="H1" s="2721"/>
      <c r="I1" s="2721"/>
      <c r="J1" s="2721"/>
      <c r="K1" s="1370"/>
      <c r="L1" s="2722" t="s">
        <v>2807</v>
      </c>
      <c r="M1" s="1080">
        <f>SUMPRODUCT((区片价!B5:B9=I2)*(区片价!C3:F3=E2)*(区片价!C5:F9))</f>
        <v>0</v>
      </c>
      <c r="N1" s="1083">
        <f>SUMPRODUCT((因素修正幅度!B5:B9=I2)*(因素修正幅度!C3:F3=E2)*(因素修正幅度!C5:F9))</f>
        <v>0</v>
      </c>
      <c r="O1" s="2723"/>
      <c r="P1" s="2723"/>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0"/>
      <c r="L2" s="2730" t="s">
        <v>2818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5" t="s">
        <v>2820</v>
      </c>
      <c r="D3" s="2726" t="s">
        <v>2821</v>
      </c>
      <c r="E3" s="2731"/>
      <c r="F3" s="2732" t="s">
        <v>2822</v>
      </c>
      <c r="G3" s="916" t="e">
        <f>IF(F3="宗地容积率",'数据-汇总表'!I4,IF(F3="估价对象容积率",'数据-汇总表'!I6,'数据-汇总表'!I7))</f>
        <v>#DIV/0!</v>
      </c>
      <c r="H3" s="198" t="s">
        <v>2823</v>
      </c>
      <c r="I3" s="944"/>
      <c r="J3" s="2729" t="s">
        <v>2824</v>
      </c>
      <c r="K3" s="1370"/>
      <c r="L3" s="2730" t="s">
        <v>2825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30" t="s">
        <v>2826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2827</v>
      </c>
      <c r="C5" s="917" t="e">
        <f>ROUND(IF(E2="商业",C6*C7+C16,(IF(E2="住宅",C6*C12+C16,C6+C16))),0)</f>
        <v>#DIV/0!</v>
      </c>
      <c r="D5" s="1787" t="e">
        <f>ROUND(IF(F17="增加",C6+C16,C6-C16),0)</f>
        <v>#DIV/0!</v>
      </c>
      <c r="E5" s="1787"/>
      <c r="F5" s="2735"/>
      <c r="G5" s="2736"/>
      <c r="H5" s="2736"/>
      <c r="I5" s="2736"/>
      <c r="J5" s="2737"/>
      <c r="K5" s="2738"/>
      <c r="L5" s="2730" t="s">
        <v>2828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2829</v>
      </c>
      <c r="B6" s="2744" t="s">
        <v>2830</v>
      </c>
      <c r="C6" s="918">
        <f>SUMIF(L1:L12,G2,M1:M12)</f>
        <v>0</v>
      </c>
      <c r="D6" s="2745" t="s">
        <v>2831</v>
      </c>
      <c r="E6" s="2746"/>
      <c r="F6" s="2746"/>
      <c r="G6" s="2747"/>
      <c r="H6" s="2747"/>
      <c r="I6" s="2747"/>
      <c r="J6" s="2748"/>
      <c r="K6" s="1842"/>
      <c r="L6" s="2730" t="s">
        <v>2832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62" t="str">
        <f>IF(E2="商业",IF(C8="不临58条商业街","",2),"")</f>
        <v/>
      </c>
      <c r="B7" s="2749" t="s">
        <v>2833</v>
      </c>
      <c r="C7" s="919" t="e">
        <f>IF(C8="不临58条商业街",1,ROUND(1+(1.6*E8+1.2*E9+0.8*E10+0.4*E11)*C9,4))</f>
        <v>#DIV/0!</v>
      </c>
      <c r="D7" s="2750" t="s">
        <v>2834</v>
      </c>
      <c r="E7" s="945"/>
      <c r="F7" s="2751"/>
      <c r="G7" s="2752"/>
      <c r="H7" s="2752"/>
      <c r="I7" s="2752"/>
      <c r="J7" s="2753"/>
      <c r="K7" s="1842"/>
      <c r="L7" s="2730" t="s">
        <v>2835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2836</v>
      </c>
      <c r="X7" s="1604">
        <f>G2</f>
        <v>0</v>
      </c>
      <c r="Y7" s="1604" t="s">
        <v>2837</v>
      </c>
      <c r="Z7" s="1605" t="e">
        <f>G3</f>
        <v>#DIV/0!</v>
      </c>
      <c r="AA7" s="1606"/>
      <c r="AB7" s="1606"/>
      <c r="AC7" s="1607"/>
      <c r="AD7" s="1608"/>
      <c r="AE7" s="1608"/>
      <c r="AF7" s="1608"/>
      <c r="AG7" s="1608"/>
      <c r="AH7" s="1608"/>
      <c r="AI7" s="1608"/>
      <c r="AJ7" s="1609"/>
    </row>
    <row r="8" spans="1:36" ht="15">
      <c r="A8" s="3282"/>
      <c r="B8" s="198" t="s">
        <v>2838</v>
      </c>
      <c r="C8" s="2754"/>
      <c r="D8" s="920" t="s">
        <v>139</v>
      </c>
      <c r="E8" s="921" t="e">
        <f>ROUND(C11/E7,4)</f>
        <v>#DIV/0!</v>
      </c>
      <c r="F8" s="2755" t="s">
        <v>2839</v>
      </c>
      <c r="G8" s="2756"/>
      <c r="H8" s="2756"/>
      <c r="I8" s="2756"/>
      <c r="J8" s="2757"/>
      <c r="K8" s="1370"/>
      <c r="L8" s="2730"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2841</v>
      </c>
      <c r="X8" s="3276"/>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82"/>
      <c r="B9" s="198" t="s">
        <v>2854</v>
      </c>
      <c r="C9" s="922">
        <f>SUMIF(修正!C59:C119,C8,修正!E59:E119)</f>
        <v>0</v>
      </c>
      <c r="D9" s="200" t="s">
        <v>140</v>
      </c>
      <c r="E9" s="200" t="e">
        <f>ROUND(C11/E7,4)</f>
        <v>#DIV/0!</v>
      </c>
      <c r="F9" s="2755" t="s">
        <v>2855</v>
      </c>
      <c r="G9" s="2756"/>
      <c r="H9" s="2756"/>
      <c r="I9" s="2756"/>
      <c r="J9" s="2757"/>
      <c r="K9" s="1370"/>
      <c r="L9" s="2730"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2859</v>
      </c>
      <c r="C10" s="200">
        <f>SUMIF(修正!C59:C119,C8,修正!F59:F119)</f>
        <v>0</v>
      </c>
      <c r="D10" s="200" t="s">
        <v>141</v>
      </c>
      <c r="E10" s="200" t="e">
        <f>ROUND(C11/E7,4)</f>
        <v>#DIV/0!</v>
      </c>
      <c r="F10" s="2755" t="s">
        <v>2860</v>
      </c>
      <c r="G10" s="2756"/>
      <c r="H10" s="2756"/>
      <c r="I10" s="2756"/>
      <c r="J10" s="2757"/>
      <c r="K10" s="1370"/>
      <c r="L10" s="2730"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8" t="s">
        <v>2862</v>
      </c>
      <c r="C11" s="923">
        <f>C10/4</f>
        <v>0</v>
      </c>
      <c r="D11" s="923" t="s">
        <v>142</v>
      </c>
      <c r="E11" s="923" t="e">
        <f>ROUND(C11/E7,4)</f>
        <v>#DIV/0!</v>
      </c>
      <c r="F11" s="2759" t="s">
        <v>2863</v>
      </c>
      <c r="G11" s="2760"/>
      <c r="H11" s="2760"/>
      <c r="I11" s="2760"/>
      <c r="J11" s="2761"/>
      <c r="K11" s="1370"/>
      <c r="L11" s="2730"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2865</v>
      </c>
      <c r="X11" s="1614" t="s">
        <v>2866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2" t="s">
        <v>2867</v>
      </c>
      <c r="B12" s="2762" t="s">
        <v>2868</v>
      </c>
      <c r="C12" s="919">
        <f>ROUND(C15*D15*E15*F15*G15*H15*I15*J15,4)</f>
        <v>1</v>
      </c>
      <c r="D12" s="2763" t="s">
        <v>2869</v>
      </c>
      <c r="E12" s="2764"/>
      <c r="F12" s="2764"/>
      <c r="G12" s="2765"/>
      <c r="H12" s="2765"/>
      <c r="I12" s="2765"/>
      <c r="J12" s="2766"/>
      <c r="K12" s="1370"/>
      <c r="L12" s="2767"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8" t="s">
        <v>2872</v>
      </c>
      <c r="C13" s="2769" t="s">
        <v>2873</v>
      </c>
      <c r="D13" s="1808" t="s">
        <v>2874</v>
      </c>
      <c r="E13" s="1808" t="s">
        <v>2875</v>
      </c>
      <c r="F13" s="30" t="s">
        <v>2876</v>
      </c>
      <c r="G13" s="2770" t="s">
        <v>2877</v>
      </c>
      <c r="H13" s="2770" t="s">
        <v>2877</v>
      </c>
      <c r="I13" s="2770" t="s">
        <v>2877</v>
      </c>
      <c r="J13" s="2771" t="s">
        <v>2877</v>
      </c>
      <c r="K13" s="1370"/>
      <c r="L13" s="1370"/>
      <c r="M13" s="1370"/>
      <c r="N13" s="1370"/>
      <c r="O13" s="1370"/>
      <c r="P13" s="1370"/>
      <c r="Q13" s="1370"/>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3"/>
      <c r="B14" s="2772"/>
      <c r="C14" s="2773"/>
      <c r="D14" s="2774"/>
      <c r="E14" s="2774"/>
      <c r="F14" s="2775"/>
      <c r="G14" s="2776" t="s">
        <v>2878</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4"/>
      <c r="B15" s="2780"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2" t="s">
        <v>2884</v>
      </c>
      <c r="B16" s="2749" t="s">
        <v>2885</v>
      </c>
      <c r="C16" s="2939" t="e">
        <f>ROUND(IF(F17="与级别开发程度一致",0,(G17-E17)/C17),0)</f>
        <v>#DIV/0!</v>
      </c>
      <c r="D16" s="3273" t="s">
        <v>2889</v>
      </c>
      <c r="E16" s="3274"/>
      <c r="F16" s="3273" t="s">
        <v>2886</v>
      </c>
      <c r="G16" s="3274"/>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3"/>
      <c r="B17" s="2950" t="s">
        <v>2888</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2891</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2892</v>
      </c>
      <c r="C19" s="924" t="e">
        <f>ROUND(IF(H19="按公示增长率计算",SUMPRODUCT((地价!A3:A26=YEAR(G19)&amp;"-"&amp;ROUNDUP(MONTH(G19)/3,0))*(地价!X2:AB2=E2)*(地价!X3:AB26)),IF(H19="地价指数",M20/M19,(1+I19)^O19)),4)</f>
        <v>#DIV/0!</v>
      </c>
      <c r="D19" s="2793" t="s">
        <v>2893</v>
      </c>
      <c r="E19" s="925">
        <v>41640</v>
      </c>
      <c r="F19" s="2793" t="s">
        <v>2894</v>
      </c>
      <c r="G19" s="926">
        <f>'数据-取费表'!B2</f>
        <v>43619</v>
      </c>
      <c r="H19" s="2794" t="s">
        <v>2895</v>
      </c>
      <c r="I19" s="927" t="str">
        <f>IF(H19="季度增幅（自定义）",SUMIF(N21:N24,E2,O21:O24),"")</f>
        <v/>
      </c>
      <c r="J19" s="2791"/>
      <c r="K19" s="1377"/>
      <c r="L19" s="2795" t="s">
        <v>2896</v>
      </c>
      <c r="M19" s="1734">
        <f>ROUND(SUMIF(地价!B2:F2,E2,地价!B26:F26),0)</f>
        <v>0</v>
      </c>
      <c r="N19" s="2796" t="s">
        <v>2897</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t="e">
        <f>ROUND(POWER(1+G20,J20-I20)*(POWER(1+G20,I20)-1)/(POWER(1+G20,J20)-1),4)</f>
        <v>#DIV/0!</v>
      </c>
      <c r="D20" s="2802" t="s">
        <v>2899</v>
      </c>
      <c r="E20" s="1768">
        <f ca="1">存贷款利率!D4/100</f>
        <v>4.3499999999999997E-2</v>
      </c>
      <c r="F20" s="2802" t="s">
        <v>2890</v>
      </c>
      <c r="G20" s="934">
        <f>SUMIF(M26:P26,E2,M28:P28)</f>
        <v>0</v>
      </c>
      <c r="H20" s="2802" t="s">
        <v>2900</v>
      </c>
      <c r="I20" s="935" t="e">
        <f>SUMIF('数据-取费表'!C6:C15,E2,'数据-取费表'!F6:F15)/COUNTIF('数据-取费表'!C6:C15,E2)</f>
        <v>#DIV/0!</v>
      </c>
      <c r="J20" s="936">
        <f>IF(E2="住宅",70,IF(E2="商业",40,50))</f>
        <v>50</v>
      </c>
      <c r="K20" s="1377"/>
      <c r="L20" s="2803" t="s">
        <v>2901</v>
      </c>
      <c r="M20" s="1735">
        <f>ROUND(SUMPRODUCT((地价!A4:A26=YEAR(G19)&amp;"-"&amp;ROUNDUP(MONTH(G19)/3,0))*(地价!B2:F2=E2)*(地价!B4:F26)),0)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2905</v>
      </c>
      <c r="C21" s="937" t="e">
        <f>IF(B21="容积率修正",IF(G3&lt;=10,D22,J22),C23)</f>
        <v>#DIV/0!</v>
      </c>
      <c r="D21" s="2809"/>
      <c r="E21" s="2809"/>
      <c r="F21" s="2809"/>
      <c r="G21" s="2809"/>
      <c r="H21" s="2809"/>
      <c r="I21" s="2809"/>
      <c r="J21" s="2810"/>
      <c r="K21" s="1377"/>
      <c r="N21" s="2811" t="s">
        <v>2906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2907</v>
      </c>
      <c r="B22" s="2812" t="s">
        <v>2908</v>
      </c>
      <c r="C22" s="1810" t="s">
        <v>2909</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1" t="s">
        <v>2910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2911</v>
      </c>
      <c r="B23" s="2813" t="s">
        <v>2912</v>
      </c>
      <c r="C23" s="1013" t="e">
        <f>ROUND(IF(G3&gt;1,IF(I3&lt;7,SUMPRODUCT((B93:B98=I3)*(C92:N92=G2)*(C93:N98)),SUMIF(C92:N92,G2,C100:N100)),IF(I3&lt;7,SUMPRODUCT((B102:B107=I3)*(C92:N92=G2)*(C102:N107)),SUMIF(C92:N92,G2,C109:N109))),4)</f>
        <v>#DIV/0!</v>
      </c>
      <c r="D23" s="2777"/>
      <c r="E23" s="2777"/>
      <c r="F23" s="2814"/>
      <c r="G23" s="2815"/>
      <c r="H23" s="2816"/>
      <c r="I23" s="2817"/>
      <c r="J23" s="2818"/>
      <c r="K23" s="1370"/>
      <c r="N23" s="2811" t="s">
        <v>2913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2914</v>
      </c>
      <c r="C24" s="924">
        <f>SUMIF(A45:A88,E2,B45:B88)</f>
        <v>0</v>
      </c>
      <c r="D24" s="2790"/>
      <c r="E24" s="2819"/>
      <c r="F24" s="2819"/>
      <c r="G24" s="2819"/>
      <c r="H24" s="2819"/>
      <c r="I24" s="2819"/>
      <c r="J24" s="2820"/>
      <c r="K24" s="1377"/>
      <c r="N24" s="2821" t="s">
        <v>2915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52"/>
      <c r="E25" s="2752"/>
      <c r="F25" s="2823"/>
      <c r="G25" s="2752"/>
      <c r="H25" s="2752"/>
      <c r="I25" s="2752"/>
      <c r="J25" s="2753"/>
      <c r="K25" s="1370"/>
      <c r="N25" s="2824" t="s">
        <v>2917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77"/>
      <c r="F26" s="2827"/>
      <c r="G26" s="2777"/>
      <c r="H26" s="2777"/>
      <c r="I26" s="2777"/>
      <c r="J26" s="2828"/>
      <c r="K26" s="1370"/>
      <c r="L26" s="2781" t="s">
        <v>2815</v>
      </c>
      <c r="M26" s="920" t="s">
        <v>2880</v>
      </c>
      <c r="N26" s="920" t="s">
        <v>2881</v>
      </c>
      <c r="O26" s="920" t="s">
        <v>2882</v>
      </c>
      <c r="P26" s="2782" t="s">
        <v>2883</v>
      </c>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2785"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2920</v>
      </c>
      <c r="C28" s="2836" t="s">
        <v>2921</v>
      </c>
      <c r="D28" s="2836" t="s">
        <v>2922</v>
      </c>
      <c r="E28" s="2837" t="s">
        <v>2923</v>
      </c>
      <c r="F28" s="2838"/>
      <c r="G28" s="2765"/>
      <c r="H28" s="2765"/>
      <c r="I28" s="2765"/>
      <c r="J28" s="2766"/>
      <c r="K28" s="1370"/>
      <c r="L28" s="2786"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2928</v>
      </c>
      <c r="C31" s="2853" t="s">
        <v>2929</v>
      </c>
      <c r="D31" s="2765"/>
      <c r="E31" s="2853"/>
      <c r="F31" s="2853"/>
      <c r="G31" s="2763" t="s">
        <v>2930</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2921</v>
      </c>
      <c r="D32" s="498" t="s">
        <v>2922</v>
      </c>
      <c r="E32" s="498"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70" t="s">
        <v>2932</v>
      </c>
      <c r="B33" s="2857" t="s">
        <v>2933</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9" t="s">
        <v>2934</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9" t="s">
        <v>2935</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72"/>
      <c r="B36" s="2769" t="s">
        <v>2936</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2937</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9" t="s">
        <v>2939</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3050</v>
      </c>
      <c r="C41" s="388" t="e">
        <f>ROUND(POWER(1+E41,H41-G41)*(POWER(1+E41,G41)-1)/(POWER(1+E41,H41)-1),4)</f>
        <v>#DIV/0!</v>
      </c>
      <c r="D41" s="200" t="s">
        <v>2890</v>
      </c>
      <c r="E41" s="2933">
        <f>G20</f>
        <v>0</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2943</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2944</v>
      </c>
      <c r="B47" s="1809" t="s">
        <v>2945</v>
      </c>
      <c r="C47" s="1809" t="s">
        <v>2946</v>
      </c>
      <c r="D47" s="1809" t="s">
        <v>2947</v>
      </c>
      <c r="E47" s="819" t="s">
        <v>2948</v>
      </c>
      <c r="F47" s="2875" t="s">
        <v>2949</v>
      </c>
      <c r="G47" s="1809" t="s">
        <v>754</v>
      </c>
      <c r="H47" s="2876" t="s">
        <v>2950</v>
      </c>
      <c r="I47" s="1809" t="s">
        <v>2951</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2953</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09"/>
      <c r="C58" s="1809" t="s">
        <v>2946</v>
      </c>
      <c r="D58" s="1809" t="s">
        <v>2947</v>
      </c>
      <c r="E58" s="819" t="s">
        <v>2948</v>
      </c>
      <c r="F58" s="2875" t="s">
        <v>2964</v>
      </c>
      <c r="G58" s="1809" t="s">
        <v>754</v>
      </c>
      <c r="H58" s="2876" t="s">
        <v>2950</v>
      </c>
      <c r="I58" s="1809" t="s">
        <v>2951</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2953</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09"/>
      <c r="C69" s="1809" t="s">
        <v>2946</v>
      </c>
      <c r="D69" s="1809" t="s">
        <v>2947</v>
      </c>
      <c r="E69" s="819" t="s">
        <v>2948</v>
      </c>
      <c r="F69" s="2875" t="s">
        <v>2964</v>
      </c>
      <c r="G69" s="1809" t="s">
        <v>754</v>
      </c>
      <c r="H69" s="2876" t="s">
        <v>2950</v>
      </c>
      <c r="I69" s="1809" t="s">
        <v>2951</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2953</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2958</v>
      </c>
      <c r="B76" s="2880" t="s">
        <v>2959</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2969</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2970</v>
      </c>
      <c r="B79" s="2871">
        <f>1+E81</f>
        <v>1</v>
      </c>
      <c r="C79" s="814"/>
      <c r="D79" s="814"/>
      <c r="E79" s="815"/>
      <c r="F79" s="2873"/>
      <c r="G79" s="6"/>
      <c r="H79" s="6"/>
      <c r="I79" s="6"/>
      <c r="J79" s="7"/>
      <c r="K79" s="7"/>
      <c r="L79" s="7"/>
      <c r="M79" s="7"/>
      <c r="N79" s="7"/>
      <c r="Z79" s="2724"/>
      <c r="AA79" s="2792"/>
      <c r="AG79" s="1372"/>
      <c r="AK79" s="2792"/>
    </row>
    <row r="80" spans="1:37" ht="24.75">
      <c r="A80" s="2874" t="s">
        <v>2944</v>
      </c>
      <c r="B80" s="1809"/>
      <c r="C80" s="1809" t="s">
        <v>2946</v>
      </c>
      <c r="D80" s="1809" t="s">
        <v>2947</v>
      </c>
      <c r="E80" s="819" t="s">
        <v>2948</v>
      </c>
      <c r="F80" s="2875" t="s">
        <v>2964</v>
      </c>
      <c r="G80" s="1809" t="s">
        <v>754</v>
      </c>
      <c r="H80" s="2876" t="s">
        <v>2950</v>
      </c>
      <c r="I80" s="1809" t="s">
        <v>2951</v>
      </c>
      <c r="J80" s="603" t="s">
        <v>2598</v>
      </c>
      <c r="K80" s="603" t="s">
        <v>2599</v>
      </c>
      <c r="L80" s="603" t="s">
        <v>2600</v>
      </c>
      <c r="M80" s="603" t="s">
        <v>2601</v>
      </c>
      <c r="N80" s="603" t="s">
        <v>2602</v>
      </c>
      <c r="Z80" s="2724"/>
      <c r="AA80" s="2792"/>
      <c r="AG80" s="1372"/>
      <c r="AK80" s="2792"/>
    </row>
    <row r="81" spans="1:37" ht="38.25">
      <c r="A81" s="2874" t="s">
        <v>2971</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2953</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2954</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2968</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2960</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2961</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2958</v>
      </c>
      <c r="B87" s="2880" t="s">
        <v>2972</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2973</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64" t="s">
        <v>2974</v>
      </c>
      <c r="B90" s="3264"/>
      <c r="C90" s="3264"/>
      <c r="D90" s="3264"/>
      <c r="E90" s="3264"/>
      <c r="F90" s="3264"/>
      <c r="G90" s="3264"/>
      <c r="H90" s="3264"/>
      <c r="I90" s="3264"/>
      <c r="J90" s="3264"/>
      <c r="K90" s="2888"/>
      <c r="L90" s="2888"/>
      <c r="M90" s="2888"/>
      <c r="N90" s="2888"/>
    </row>
    <row r="91" spans="1:37">
      <c r="A91" s="3266" t="s">
        <v>2975</v>
      </c>
      <c r="B91" s="3266" t="s">
        <v>2976</v>
      </c>
      <c r="C91" s="2842" t="s">
        <v>2977</v>
      </c>
      <c r="D91" s="2843"/>
      <c r="E91" s="2843"/>
      <c r="F91" s="2843"/>
      <c r="G91" s="2843"/>
      <c r="H91" s="2843"/>
      <c r="I91" s="2843"/>
      <c r="J91" s="2889"/>
      <c r="K91" s="2890"/>
      <c r="L91" s="2890"/>
      <c r="M91" s="2890"/>
      <c r="N91" s="2890"/>
    </row>
    <row r="92" spans="1:37">
      <c r="A92" s="3266"/>
      <c r="B92" s="326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67"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8"/>
      <c r="B99" s="2891" t="s">
        <v>2858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7" t="s">
        <v>2979</v>
      </c>
      <c r="B101" s="2895" t="s">
        <v>2980</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68"/>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68"/>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68"/>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68"/>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68"/>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68"/>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68"/>
      <c r="B108" s="3094"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9"/>
      <c r="B109" s="3095"/>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65" t="s">
        <v>2982</v>
      </c>
      <c r="B110" s="3265"/>
      <c r="C110" s="3265"/>
      <c r="D110" s="3265"/>
      <c r="E110" s="3265"/>
      <c r="F110" s="3265"/>
      <c r="G110" s="3265"/>
      <c r="H110" s="3265"/>
      <c r="I110" s="3265"/>
      <c r="J110" s="3265"/>
      <c r="K110" s="2897"/>
      <c r="L110" s="2897"/>
      <c r="M110" s="2897"/>
      <c r="N110" s="2897"/>
    </row>
    <row r="112" spans="1:14" ht="13.5" thickBot="1"/>
    <row r="113" spans="1:13" ht="25.5" thickBot="1">
      <c r="A113" s="903" t="s">
        <v>2983</v>
      </c>
      <c r="B113" s="1287" t="e">
        <f>G3</f>
        <v>#DIV/0!</v>
      </c>
      <c r="C113" s="904" t="s">
        <v>2984</v>
      </c>
      <c r="D113" s="905" t="e">
        <f>SUMPRODUCT((A115:A118=F113)*(B114:M114=H113)*B115:M118)</f>
        <v>#DIV/0!</v>
      </c>
      <c r="E113" s="2728" t="s">
        <v>2815</v>
      </c>
      <c r="F113" s="2899">
        <f>E2</f>
        <v>0</v>
      </c>
      <c r="G113" s="2728" t="s">
        <v>2816</v>
      </c>
      <c r="H113" s="2899">
        <f>G2</f>
        <v>0</v>
      </c>
      <c r="I113" s="2728"/>
      <c r="J113" s="2900"/>
      <c r="K113" s="2900"/>
      <c r="L113" s="2900"/>
      <c r="M113" s="2900"/>
    </row>
    <row r="114" spans="1:13">
      <c r="A114" s="908"/>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3005</v>
      </c>
    </row>
    <row r="2" spans="1:5" ht="15.75">
      <c r="A2" s="2906" t="s">
        <v>2997</v>
      </c>
      <c r="B2" s="2907" t="e">
        <f ca="1">SUMIF(B6:B13,"&lt;&gt;#ref!",B6:B13)</f>
        <v>#DIV/0!</v>
      </c>
      <c r="C2" s="2906" t="s">
        <v>2998</v>
      </c>
      <c r="D2" s="2906" t="s">
        <v>2999</v>
      </c>
      <c r="E2" s="2907">
        <f ca="1">SUMIF(E6:E13,"&lt;&gt;#ref!",E6:E13)</f>
        <v>0</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9">
        <f ca="1">SUMIF(INDIRECT("'"&amp;A6&amp;"'"&amp;"!C:C"),"建筑面积",INDIRECT("'"&amp;A6&amp;"'"&amp;"!D:D"))</f>
        <v>0</v>
      </c>
    </row>
    <row r="7" spans="1:5" ht="15.75">
      <c r="A7" s="2911"/>
      <c r="B7" s="2907" t="e">
        <f ca="1">SUMIF(INDIRECT("'"&amp;A7&amp;"'"&amp;"!A:A"),"总价",INDIRECT("'"&amp;A7&amp;"'"&amp;"!B:B"))</f>
        <v>#REF!</v>
      </c>
      <c r="C7" s="2906" t="s">
        <v>2998</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9" t="e">
        <f t="shared" ca="1" si="0"/>
        <v>#REF!</v>
      </c>
    </row>
    <row r="9" spans="1:5" ht="15.75">
      <c r="A9" s="2911"/>
      <c r="B9" s="2907" t="e">
        <f t="shared" ca="1" si="1"/>
        <v>#REF!</v>
      </c>
      <c r="C9" s="2906" t="s">
        <v>2998</v>
      </c>
      <c r="D9" s="2908"/>
      <c r="E9" s="2579" t="e">
        <f t="shared" ca="1" si="0"/>
        <v>#REF!</v>
      </c>
    </row>
    <row r="10" spans="1:5" ht="15.75">
      <c r="A10" s="2911"/>
      <c r="B10" s="2907" t="e">
        <f t="shared" ca="1" si="1"/>
        <v>#REF!</v>
      </c>
      <c r="C10" s="2906" t="s">
        <v>2998</v>
      </c>
      <c r="D10" s="2908"/>
      <c r="E10" s="2579" t="e">
        <f t="shared" ca="1" si="0"/>
        <v>#REF!</v>
      </c>
    </row>
    <row r="11" spans="1:5" ht="15.75">
      <c r="A11" s="2911"/>
      <c r="B11" s="2907" t="e">
        <f t="shared" ca="1" si="1"/>
        <v>#REF!</v>
      </c>
      <c r="C11" s="2906" t="s">
        <v>2998</v>
      </c>
      <c r="D11" s="2908"/>
      <c r="E11" s="2579" t="e">
        <f t="shared" ca="1" si="0"/>
        <v>#REF!</v>
      </c>
    </row>
    <row r="12" spans="1:5" ht="15.75">
      <c r="A12" s="2911"/>
      <c r="B12" s="2907" t="e">
        <f t="shared" ca="1" si="1"/>
        <v>#REF!</v>
      </c>
      <c r="C12" s="2906" t="s">
        <v>2998</v>
      </c>
      <c r="D12" s="2908"/>
      <c r="E12" s="2579" t="e">
        <f t="shared" ca="1" si="0"/>
        <v>#REF!</v>
      </c>
    </row>
    <row r="13" spans="1:5" ht="15.75">
      <c r="A13" s="2911"/>
      <c r="B13" s="2907" t="e">
        <f t="shared" ca="1" si="1"/>
        <v>#REF!</v>
      </c>
      <c r="C13" s="2906" t="s">
        <v>2998</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87" t="s">
        <v>1147</v>
      </c>
      <c r="H1" s="3287"/>
      <c r="I1" s="3287"/>
      <c r="J1" s="3287"/>
      <c r="K1" s="3287"/>
      <c r="L1" s="3287"/>
      <c r="N1" s="3287" t="s">
        <v>1148</v>
      </c>
      <c r="O1" s="3287"/>
      <c r="P1" s="3287"/>
      <c r="Q1" s="3287"/>
      <c r="R1" s="1446"/>
      <c r="S1" s="3287" t="s">
        <v>1149</v>
      </c>
      <c r="T1" s="3287"/>
      <c r="U1" s="3287"/>
      <c r="V1" s="3287"/>
      <c r="X1" s="3286" t="s">
        <v>1150</v>
      </c>
      <c r="Y1" s="3287"/>
      <c r="Z1" s="3287"/>
      <c r="AA1" s="3287"/>
      <c r="AB1" s="3287"/>
      <c r="AD1" s="3286" t="s">
        <v>1151</v>
      </c>
      <c r="AE1" s="3287"/>
      <c r="AF1" s="3287"/>
      <c r="AG1" s="3287"/>
      <c r="AH1" s="328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3038</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1"/>
      <c r="B4" s="2978" t="s">
        <v>1626</v>
      </c>
      <c r="C4" s="2978"/>
      <c r="D4" s="2978"/>
      <c r="E4" s="1961"/>
    </row>
    <row r="5" spans="1:5" ht="16.5" thickTop="1">
      <c r="A5" s="1959"/>
      <c r="B5" s="2976" t="s">
        <v>1618</v>
      </c>
      <c r="C5" s="1962" t="s">
        <v>1619</v>
      </c>
      <c r="D5" s="1040">
        <f ca="1">结果表!H101</f>
        <v>160</v>
      </c>
      <c r="E5" s="1959"/>
    </row>
    <row r="6" spans="1:5" ht="15.75">
      <c r="A6" s="1959"/>
      <c r="B6" s="2976"/>
      <c r="C6" s="1962" t="s">
        <v>1620</v>
      </c>
      <c r="D6" s="1040" t="str">
        <f ca="1">NUMBERSTRING(INT(D5*10000),2)&amp;"元整"</f>
        <v>壹佰陆拾万元整</v>
      </c>
      <c r="E6" s="1959"/>
    </row>
    <row r="7" spans="1:5" ht="15.75">
      <c r="A7" s="1959"/>
      <c r="B7" s="2981"/>
      <c r="C7" s="1963" t="s">
        <v>1621</v>
      </c>
      <c r="D7" s="1041">
        <f ca="1">结果表!H102</f>
        <v>29202</v>
      </c>
      <c r="E7" s="1959"/>
    </row>
    <row r="8" spans="1:5" ht="15.75">
      <c r="A8" s="1959"/>
      <c r="B8" s="2982" t="str">
        <f>结果表!E103</f>
        <v>2.估价师知悉的法定优先受偿款</v>
      </c>
      <c r="C8" s="1964" t="s">
        <v>1622</v>
      </c>
      <c r="D8" s="1041">
        <f>结果表!H103</f>
        <v>0</v>
      </c>
      <c r="E8" s="1959"/>
    </row>
    <row r="9" spans="1:5" ht="15.75">
      <c r="A9" s="1959"/>
      <c r="B9" s="2984"/>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5" t="str">
        <f>结果表!E107</f>
        <v>3.房地产抵押价值</v>
      </c>
      <c r="C13" s="1967" t="s">
        <v>1619</v>
      </c>
      <c r="D13" s="1043">
        <f ca="1">结果表!H107</f>
        <v>160</v>
      </c>
      <c r="E13" s="1959"/>
    </row>
    <row r="14" spans="1:5" ht="15.75">
      <c r="A14" s="1959"/>
      <c r="B14" s="2976"/>
      <c r="C14" s="1962" t="s">
        <v>1620</v>
      </c>
      <c r="D14" s="1040" t="str">
        <f ca="1">NUMBERSTRING(INT(D13*10000),2)&amp;"元整"</f>
        <v>壹佰陆拾万元整</v>
      </c>
      <c r="E14" s="1959"/>
    </row>
    <row r="15" spans="1:5" ht="15">
      <c r="A15" s="1959"/>
      <c r="B15" s="2981"/>
      <c r="C15" s="1963" t="s">
        <v>1630</v>
      </c>
      <c r="D15" s="1052">
        <f ca="1">结果表!H108</f>
        <v>44</v>
      </c>
      <c r="E15" s="1959"/>
    </row>
    <row r="16" spans="1:5" ht="15">
      <c r="A16" s="1959"/>
      <c r="B16" s="2982" t="str">
        <f>结果表!E109</f>
        <v>——</v>
      </c>
      <c r="C16" s="1967" t="s">
        <v>1631</v>
      </c>
      <c r="D16" s="1968" t="str">
        <f>结果表!H109</f>
        <v>——</v>
      </c>
      <c r="E16" s="1959"/>
    </row>
    <row r="17" spans="1:5" ht="15.75">
      <c r="A17" s="1959"/>
      <c r="B17" s="2983"/>
      <c r="C17" s="1962" t="s">
        <v>1632</v>
      </c>
      <c r="D17" s="1040" t="e">
        <f>NUMBERSTRING(INT(D16*10000),2)&amp;"元整"</f>
        <v>#VALUE!</v>
      </c>
      <c r="E17" s="1959"/>
    </row>
    <row r="18" spans="1:5" ht="15">
      <c r="A18" s="1959"/>
      <c r="B18" s="2984"/>
      <c r="C18" s="1963" t="s">
        <v>1621</v>
      </c>
      <c r="D18" s="1052" t="str">
        <f>结果表!H110</f>
        <v>——</v>
      </c>
      <c r="E18" s="1959"/>
    </row>
    <row r="19" spans="1:5" ht="15.75">
      <c r="A19" s="1959"/>
      <c r="B19" s="2975" t="str">
        <f>结果表!E111</f>
        <v>——</v>
      </c>
      <c r="C19" s="1967" t="s">
        <v>1619</v>
      </c>
      <c r="D19" s="1041" t="str">
        <f>结果表!H111</f>
        <v>——</v>
      </c>
      <c r="E19" s="1959"/>
    </row>
    <row r="20" spans="1:5" ht="15.75">
      <c r="A20" s="1959"/>
      <c r="B20" s="2976"/>
      <c r="C20" s="1962" t="s">
        <v>1632</v>
      </c>
      <c r="D20" s="1040" t="e">
        <f>NUMBERSTRING(INT(D19*10000),2)&amp;"元整"</f>
        <v>#VALUE!</v>
      </c>
      <c r="E20" s="1959"/>
    </row>
    <row r="21" spans="1:5" ht="15.75" thickBot="1">
      <c r="A21" s="1959"/>
      <c r="B21" s="2977"/>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4" sqref="N4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0" zoomScale="90" zoomScaleNormal="90" workbookViewId="0">
      <selection activeCell="Q38" sqref="Q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5" style="27" customWidth="1"/>
    <col min="10" max="10" width="9" style="27"/>
    <col min="11" max="11" width="5" style="27" customWidth="1"/>
    <col min="12" max="12" width="9" style="27"/>
    <col min="13" max="13" width="9.875" style="27" bestFit="1"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298" t="s">
        <v>3008</v>
      </c>
      <c r="D1" s="3299"/>
      <c r="E1" s="3299"/>
      <c r="F1" s="3299"/>
      <c r="G1" s="3299"/>
      <c r="H1" s="3299"/>
      <c r="I1" s="3299"/>
      <c r="J1" s="3299"/>
      <c r="K1" s="3299"/>
      <c r="L1" s="3299"/>
      <c r="M1" s="3299"/>
      <c r="N1" s="3299"/>
      <c r="O1" s="3299"/>
      <c r="P1" s="3299"/>
      <c r="Q1" s="3299"/>
      <c r="R1" s="3299"/>
      <c r="S1" s="3300"/>
      <c r="T1" s="1204" t="s">
        <v>3009</v>
      </c>
    </row>
    <row r="2" spans="1:45" s="707" customFormat="1" ht="38.25">
      <c r="A2" s="1205"/>
      <c r="B2" s="703" t="s">
        <v>3010</v>
      </c>
      <c r="C2" s="704" t="str">
        <f t="shared" ref="C2:L2" si="0">C3&amp;"(含)"&amp;"-"&amp;D3</f>
        <v>0(含)-50</v>
      </c>
      <c r="D2" s="705" t="str">
        <f t="shared" si="0"/>
        <v>50(含)-70</v>
      </c>
      <c r="E2" s="705" t="str">
        <f t="shared" si="0"/>
        <v>70(含)-100</v>
      </c>
      <c r="F2" s="705" t="str">
        <f t="shared" si="0"/>
        <v>100(含)-200</v>
      </c>
      <c r="G2" s="705" t="str">
        <f t="shared" si="0"/>
        <v>200(含)-500</v>
      </c>
      <c r="H2" s="705" t="str">
        <f t="shared" si="0"/>
        <v>500(含)-1000</v>
      </c>
      <c r="I2" s="705" t="str">
        <f t="shared" si="0"/>
        <v>1000(含)-2000</v>
      </c>
      <c r="J2" s="705" t="str">
        <f t="shared" si="0"/>
        <v>2000(含)-5000</v>
      </c>
      <c r="K2" s="705" t="str">
        <f t="shared" si="0"/>
        <v>5000(含)-10000</v>
      </c>
      <c r="L2" s="705" t="str">
        <f t="shared" si="0"/>
        <v>10000(含)-20000</v>
      </c>
      <c r="M2" s="705" t="str">
        <f t="shared" ref="M2" si="1">M3&amp;"(含)"&amp;"-"&amp;N3</f>
        <v>20000(含)-50000</v>
      </c>
      <c r="N2" s="705" t="str">
        <f t="shared" ref="N2" si="2">N3&amp;"(含)"&amp;"-"&amp;O3</f>
        <v>50000(含)-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70</v>
      </c>
      <c r="F3" s="1704">
        <v>100</v>
      </c>
      <c r="G3" s="1704">
        <v>200</v>
      </c>
      <c r="H3" s="1704">
        <v>500</v>
      </c>
      <c r="I3" s="1704">
        <v>1000</v>
      </c>
      <c r="J3" s="1704">
        <v>2000</v>
      </c>
      <c r="K3" s="1704">
        <v>5000</v>
      </c>
      <c r="L3" s="1705">
        <v>10000</v>
      </c>
      <c r="M3" s="1706">
        <v>20000</v>
      </c>
      <c r="N3" s="1706">
        <v>50000</v>
      </c>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v>96</v>
      </c>
      <c r="H4" s="1708">
        <v>95</v>
      </c>
      <c r="I4" s="1708">
        <v>94</v>
      </c>
      <c r="J4" s="1708">
        <v>93</v>
      </c>
      <c r="K4" s="1708">
        <v>92</v>
      </c>
      <c r="L4" s="1708">
        <v>91</v>
      </c>
      <c r="M4" s="1709">
        <v>90</v>
      </c>
      <c r="N4" s="1709">
        <v>89</v>
      </c>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3017</v>
      </c>
      <c r="B17" s="2913" t="s">
        <v>3018</v>
      </c>
      <c r="C17" s="1231">
        <v>1</v>
      </c>
      <c r="D17" s="1232">
        <v>2</v>
      </c>
      <c r="E17" s="1232">
        <v>3</v>
      </c>
      <c r="F17" s="1232">
        <v>4</v>
      </c>
      <c r="G17" s="1232">
        <v>5</v>
      </c>
      <c r="H17" s="1232">
        <v>6</v>
      </c>
      <c r="I17" s="2963" t="s">
        <v>3118</v>
      </c>
      <c r="J17" s="1232">
        <v>-1</v>
      </c>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75</v>
      </c>
      <c r="E18" s="1244">
        <v>70</v>
      </c>
      <c r="F18" s="1244">
        <v>60</v>
      </c>
      <c r="G18" s="1244">
        <v>60</v>
      </c>
      <c r="H18" s="1244">
        <v>60</v>
      </c>
      <c r="I18" s="1244">
        <f>ROUND((C18+D18+E18)/3,0)</f>
        <v>82</v>
      </c>
      <c r="J18" s="1244">
        <v>50</v>
      </c>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3019</v>
      </c>
      <c r="E19" s="1792"/>
      <c r="F19" s="1792"/>
      <c r="G19" s="1792"/>
      <c r="H19" s="1280"/>
      <c r="I19" s="168"/>
      <c r="J19" s="168"/>
      <c r="K19" s="168"/>
      <c r="L19" s="168"/>
      <c r="M19" s="168"/>
      <c r="N19" s="168"/>
      <c r="O19" s="168"/>
      <c r="P19" s="168"/>
      <c r="Q19" s="168"/>
      <c r="R19" s="788"/>
      <c r="S19" s="138"/>
    </row>
    <row r="20" spans="1:45" ht="16.5" thickBot="1">
      <c r="A20" s="715" t="s">
        <v>3020</v>
      </c>
      <c r="B20" s="338">
        <f ca="1">IF(D20="——",S22,S22-F20)</f>
        <v>72332</v>
      </c>
      <c r="C20" s="168"/>
      <c r="D20" s="2915" t="s">
        <v>70</v>
      </c>
      <c r="E20" s="1793"/>
      <c r="F20" s="1204" t="e">
        <f ca="1">SUMIF(INDIRECT("'"&amp;H20&amp;"'"&amp;"!A:A"),"承租人权益价值",INDIRECT("'"&amp;H20&amp;"'"&amp;"!c:c"))</f>
        <v>#REF!</v>
      </c>
      <c r="G20" s="1204" t="s">
        <v>3021</v>
      </c>
      <c r="H20" s="2916"/>
      <c r="I20" s="168"/>
      <c r="J20" s="168"/>
      <c r="K20" s="168"/>
      <c r="L20" s="168"/>
      <c r="M20" s="168"/>
      <c r="N20" s="168"/>
      <c r="O20" s="168"/>
      <c r="P20" s="168"/>
      <c r="Q20" s="168"/>
      <c r="R20" s="788"/>
      <c r="S20" s="138"/>
    </row>
    <row r="21" spans="1:45" ht="15.75">
      <c r="A21" s="715" t="s">
        <v>3022</v>
      </c>
      <c r="B21" s="338">
        <f ca="1">R22</f>
        <v>19798</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36535.62999999999</v>
      </c>
      <c r="C22" s="3075" t="s">
        <v>33</v>
      </c>
      <c r="D22" s="3076"/>
      <c r="E22" s="3076"/>
      <c r="F22" s="3076"/>
      <c r="G22" s="3076"/>
      <c r="H22" s="3076"/>
      <c r="I22" s="3076"/>
      <c r="J22" s="3076"/>
      <c r="K22" s="3076"/>
      <c r="L22" s="3076"/>
      <c r="M22" s="3076"/>
      <c r="N22" s="3076"/>
      <c r="O22" s="3076"/>
      <c r="P22" s="3076"/>
      <c r="Q22" s="3297"/>
      <c r="R22" s="716">
        <f ca="1">ROUND(S22*10000/B22,0)</f>
        <v>19798</v>
      </c>
      <c r="S22" s="24">
        <f ca="1">SUM(S24:S10000)</f>
        <v>72332</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1064</v>
      </c>
      <c r="B24" s="718">
        <v>54.79</v>
      </c>
      <c r="C24" s="719">
        <v>1</v>
      </c>
      <c r="D24" s="720"/>
      <c r="E24" s="719">
        <v>1</v>
      </c>
      <c r="F24" s="720"/>
      <c r="G24" s="719">
        <v>1</v>
      </c>
      <c r="H24" s="720"/>
      <c r="I24" s="719">
        <v>1</v>
      </c>
      <c r="J24" s="720"/>
      <c r="K24" s="719">
        <v>1</v>
      </c>
      <c r="L24" s="720"/>
      <c r="M24" s="719">
        <v>1</v>
      </c>
      <c r="N24" s="720"/>
      <c r="O24" s="719">
        <v>1</v>
      </c>
      <c r="P24" s="720">
        <v>1</v>
      </c>
      <c r="Q24" s="719">
        <v>1</v>
      </c>
      <c r="R24" s="721">
        <f ca="1">结果表!G20</f>
        <v>29319</v>
      </c>
      <c r="S24" s="719">
        <f t="shared" ref="S24:S54" ca="1" si="11">ROUND(R24*B24/10000,0)</f>
        <v>161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1012</v>
      </c>
      <c r="B25" s="59">
        <v>350.27</v>
      </c>
      <c r="C25" s="24">
        <f>IF(B25="",1,(LOOKUP(B25,$3:$3,$4:$4)-LOOKUP($B$24,$3:$3,$4:$4)+100)/100)</f>
        <v>0.97</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28439</v>
      </c>
      <c r="S25" s="361">
        <f t="shared" ca="1" si="11"/>
        <v>996</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si="20">IF(B26="",0,ROUND($R$24*C26*E26*G26*I26*K26*M26*O26*Q26,0))</f>
        <v>0</v>
      </c>
      <c r="S26" s="361">
        <f t="shared" si="11"/>
        <v>0</v>
      </c>
    </row>
    <row r="27" spans="1:45">
      <c r="A27" s="159">
        <v>1071</v>
      </c>
      <c r="B27" s="59">
        <v>46.03</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1</v>
      </c>
      <c r="Q27" s="24">
        <f t="shared" si="19"/>
        <v>1</v>
      </c>
      <c r="R27" s="716">
        <f t="shared" ca="1" si="20"/>
        <v>29612</v>
      </c>
      <c r="S27" s="361">
        <f t="shared" ca="1" si="11"/>
        <v>136</v>
      </c>
    </row>
    <row r="28" spans="1:45">
      <c r="A28" s="159">
        <v>1072</v>
      </c>
      <c r="B28" s="59">
        <v>46.03</v>
      </c>
      <c r="C28" s="24">
        <f t="shared" si="12"/>
        <v>1.01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1</v>
      </c>
      <c r="R28" s="716">
        <f t="shared" ca="1" si="20"/>
        <v>29612</v>
      </c>
      <c r="S28" s="361">
        <f t="shared" ca="1" si="11"/>
        <v>136</v>
      </c>
    </row>
    <row r="29" spans="1:45">
      <c r="A29" s="159">
        <v>1174</v>
      </c>
      <c r="B29" s="59">
        <v>25.12</v>
      </c>
      <c r="C29" s="24">
        <f t="shared" si="12"/>
        <v>1.01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v>
      </c>
      <c r="R29" s="716">
        <f t="shared" ca="1" si="20"/>
        <v>29612</v>
      </c>
      <c r="S29" s="361">
        <f t="shared" ca="1" si="11"/>
        <v>74</v>
      </c>
    </row>
    <row r="30" spans="1:45">
      <c r="A30" s="159">
        <v>1194</v>
      </c>
      <c r="B30" s="59">
        <v>50.11</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1</v>
      </c>
      <c r="Q30" s="24">
        <f t="shared" si="19"/>
        <v>1</v>
      </c>
      <c r="R30" s="716">
        <f t="shared" ca="1" si="20"/>
        <v>29319</v>
      </c>
      <c r="S30" s="361">
        <f t="shared" ca="1" si="11"/>
        <v>147</v>
      </c>
    </row>
    <row r="31" spans="1:45">
      <c r="A31" s="159">
        <v>1219</v>
      </c>
      <c r="B31" s="59">
        <v>87.52</v>
      </c>
      <c r="C31" s="24">
        <f t="shared" si="12"/>
        <v>0.99</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1</v>
      </c>
      <c r="Q31" s="24">
        <f t="shared" si="19"/>
        <v>1</v>
      </c>
      <c r="R31" s="716">
        <f t="shared" ca="1" si="20"/>
        <v>29026</v>
      </c>
      <c r="S31" s="361">
        <f t="shared" ca="1" si="11"/>
        <v>254</v>
      </c>
    </row>
    <row r="32" spans="1:45">
      <c r="A32" s="159">
        <v>1246</v>
      </c>
      <c r="B32" s="59">
        <v>38.450000000000003</v>
      </c>
      <c r="C32" s="24">
        <f t="shared" si="12"/>
        <v>1.01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1</v>
      </c>
      <c r="Q32" s="24">
        <f t="shared" si="19"/>
        <v>1</v>
      </c>
      <c r="R32" s="716">
        <f t="shared" ca="1" si="20"/>
        <v>29612</v>
      </c>
      <c r="S32" s="361">
        <f t="shared" ca="1" si="11"/>
        <v>114</v>
      </c>
    </row>
    <row r="33" spans="1:19">
      <c r="A33" s="159">
        <v>1273</v>
      </c>
      <c r="B33" s="59">
        <v>38.909999999999997</v>
      </c>
      <c r="C33" s="24">
        <f t="shared" si="12"/>
        <v>1.01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1</v>
      </c>
      <c r="Q33" s="24">
        <f t="shared" si="19"/>
        <v>1</v>
      </c>
      <c r="R33" s="716">
        <f t="shared" ca="1" si="20"/>
        <v>29612</v>
      </c>
      <c r="S33" s="361">
        <f t="shared" ca="1" si="11"/>
        <v>115</v>
      </c>
    </row>
    <row r="34" spans="1:19">
      <c r="A34" s="159">
        <v>1307</v>
      </c>
      <c r="B34" s="59">
        <v>43.49</v>
      </c>
      <c r="C34" s="24">
        <f t="shared" si="12"/>
        <v>1.01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1</v>
      </c>
      <c r="Q34" s="24">
        <f t="shared" si="19"/>
        <v>1</v>
      </c>
      <c r="R34" s="716">
        <f t="shared" ca="1" si="20"/>
        <v>29612</v>
      </c>
      <c r="S34" s="361">
        <f t="shared" ca="1" si="11"/>
        <v>129</v>
      </c>
    </row>
    <row r="35" spans="1:19">
      <c r="A35" s="159">
        <v>1308</v>
      </c>
      <c r="B35" s="59">
        <v>32.700000000000003</v>
      </c>
      <c r="C35" s="24">
        <f t="shared" si="12"/>
        <v>1.01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1</v>
      </c>
      <c r="Q35" s="24">
        <f t="shared" si="19"/>
        <v>1</v>
      </c>
      <c r="R35" s="716">
        <f t="shared" ca="1" si="20"/>
        <v>29612</v>
      </c>
      <c r="S35" s="361">
        <f t="shared" ca="1" si="11"/>
        <v>97</v>
      </c>
    </row>
    <row r="36" spans="1:19">
      <c r="A36" s="159">
        <v>1309</v>
      </c>
      <c r="B36" s="59">
        <v>33.4</v>
      </c>
      <c r="C36" s="24">
        <f t="shared" si="12"/>
        <v>1.01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v>1</v>
      </c>
      <c r="Q36" s="24">
        <f t="shared" si="19"/>
        <v>1</v>
      </c>
      <c r="R36" s="716">
        <f t="shared" ca="1" si="20"/>
        <v>29612</v>
      </c>
      <c r="S36" s="361">
        <f t="shared" ca="1" si="11"/>
        <v>99</v>
      </c>
    </row>
    <row r="37" spans="1:19">
      <c r="A37" s="159">
        <v>1334</v>
      </c>
      <c r="B37" s="59">
        <v>43.49</v>
      </c>
      <c r="C37" s="24">
        <f t="shared" si="12"/>
        <v>1.01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v>1</v>
      </c>
      <c r="Q37" s="24">
        <f t="shared" si="19"/>
        <v>1</v>
      </c>
      <c r="R37" s="716">
        <f t="shared" ca="1" si="20"/>
        <v>29612</v>
      </c>
      <c r="S37" s="361">
        <f t="shared" ca="1" si="11"/>
        <v>129</v>
      </c>
    </row>
    <row r="38" spans="1:19">
      <c r="A38" s="159">
        <v>1352</v>
      </c>
      <c r="B38" s="59">
        <v>21616.880000000001</v>
      </c>
      <c r="C38" s="24">
        <f t="shared" si="12"/>
        <v>0.91</v>
      </c>
      <c r="D38" s="720"/>
      <c r="E38" s="24">
        <f t="shared" si="13"/>
        <v>1</v>
      </c>
      <c r="F38" s="720"/>
      <c r="G38" s="24">
        <f t="shared" si="14"/>
        <v>1</v>
      </c>
      <c r="H38" s="720"/>
      <c r="I38" s="24">
        <f t="shared" si="15"/>
        <v>1</v>
      </c>
      <c r="J38" s="720"/>
      <c r="K38" s="24">
        <f t="shared" si="16"/>
        <v>1</v>
      </c>
      <c r="L38" s="720"/>
      <c r="M38" s="24">
        <f t="shared" si="17"/>
        <v>1</v>
      </c>
      <c r="N38" s="720"/>
      <c r="O38" s="24">
        <f t="shared" si="18"/>
        <v>1</v>
      </c>
      <c r="P38" s="3308" t="s">
        <v>3117</v>
      </c>
      <c r="Q38" s="24">
        <f t="shared" si="19"/>
        <v>0.82</v>
      </c>
      <c r="R38" s="716">
        <f t="shared" ca="1" si="20"/>
        <v>21878</v>
      </c>
      <c r="S38" s="361">
        <f t="shared" ca="1" si="11"/>
        <v>47293</v>
      </c>
    </row>
    <row r="39" spans="1:19">
      <c r="A39" s="159">
        <v>2104</v>
      </c>
      <c r="B39" s="59">
        <v>61.62</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v>2</v>
      </c>
      <c r="Q39" s="24">
        <f t="shared" si="19"/>
        <v>0.75</v>
      </c>
      <c r="R39" s="716">
        <f t="shared" ca="1" si="20"/>
        <v>21989</v>
      </c>
      <c r="S39" s="361">
        <f t="shared" ca="1" si="11"/>
        <v>135</v>
      </c>
    </row>
    <row r="40" spans="1:19">
      <c r="A40" s="159">
        <v>2166</v>
      </c>
      <c r="B40" s="59">
        <v>29.56</v>
      </c>
      <c r="C40" s="24">
        <f t="shared" si="12"/>
        <v>1.01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v>2</v>
      </c>
      <c r="Q40" s="24">
        <f t="shared" si="19"/>
        <v>0.75</v>
      </c>
      <c r="R40" s="716">
        <f t="shared" ca="1" si="20"/>
        <v>22209</v>
      </c>
      <c r="S40" s="361">
        <f t="shared" ca="1" si="11"/>
        <v>66</v>
      </c>
    </row>
    <row r="41" spans="1:19">
      <c r="A41" s="159">
        <v>2172</v>
      </c>
      <c r="B41" s="59">
        <v>36.96</v>
      </c>
      <c r="C41" s="24">
        <f t="shared" si="12"/>
        <v>1.01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v>2</v>
      </c>
      <c r="Q41" s="24">
        <f t="shared" si="19"/>
        <v>0.75</v>
      </c>
      <c r="R41" s="716">
        <f t="shared" ca="1" si="20"/>
        <v>22209</v>
      </c>
      <c r="S41" s="361">
        <f t="shared" ca="1" si="11"/>
        <v>82</v>
      </c>
    </row>
    <row r="42" spans="1:19">
      <c r="A42" s="159">
        <v>2173</v>
      </c>
      <c r="B42" s="59">
        <v>38.159999999999997</v>
      </c>
      <c r="C42" s="24">
        <f t="shared" si="12"/>
        <v>1.01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v>2</v>
      </c>
      <c r="Q42" s="24">
        <f t="shared" si="19"/>
        <v>0.75</v>
      </c>
      <c r="R42" s="716">
        <f t="shared" ca="1" si="20"/>
        <v>22209</v>
      </c>
      <c r="S42" s="361">
        <f t="shared" ca="1" si="11"/>
        <v>85</v>
      </c>
    </row>
    <row r="43" spans="1:19">
      <c r="A43" s="159">
        <v>2174</v>
      </c>
      <c r="B43" s="59">
        <v>33.39</v>
      </c>
      <c r="C43" s="24">
        <f t="shared" si="12"/>
        <v>1.01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v>2</v>
      </c>
      <c r="Q43" s="24">
        <f t="shared" si="19"/>
        <v>0.75</v>
      </c>
      <c r="R43" s="716">
        <f t="shared" ca="1" si="20"/>
        <v>22209</v>
      </c>
      <c r="S43" s="361">
        <f t="shared" ca="1" si="11"/>
        <v>74</v>
      </c>
    </row>
    <row r="44" spans="1:19">
      <c r="A44" s="159">
        <v>3038</v>
      </c>
      <c r="B44" s="59">
        <v>37.21</v>
      </c>
      <c r="C44" s="24">
        <f t="shared" si="12"/>
        <v>1.01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v>3</v>
      </c>
      <c r="Q44" s="24">
        <f t="shared" si="19"/>
        <v>0.7</v>
      </c>
      <c r="R44" s="716">
        <f t="shared" ca="1" si="20"/>
        <v>20729</v>
      </c>
      <c r="S44" s="361">
        <f t="shared" ca="1" si="11"/>
        <v>77</v>
      </c>
    </row>
    <row r="45" spans="1:19">
      <c r="A45" s="159">
        <v>3090</v>
      </c>
      <c r="B45" s="59">
        <v>35.409999999999997</v>
      </c>
      <c r="C45" s="24">
        <f t="shared" si="12"/>
        <v>1.01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v>3</v>
      </c>
      <c r="Q45" s="24">
        <f t="shared" si="19"/>
        <v>0.7</v>
      </c>
      <c r="R45" s="716">
        <f t="shared" ca="1" si="20"/>
        <v>20729</v>
      </c>
      <c r="S45" s="361">
        <f t="shared" ca="1" si="11"/>
        <v>73</v>
      </c>
    </row>
    <row r="46" spans="1:19">
      <c r="A46" s="159">
        <v>3161</v>
      </c>
      <c r="B46" s="59">
        <v>33.21</v>
      </c>
      <c r="C46" s="24">
        <f t="shared" si="12"/>
        <v>1.01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v>3</v>
      </c>
      <c r="Q46" s="24">
        <f t="shared" si="19"/>
        <v>0.7</v>
      </c>
      <c r="R46" s="716">
        <f t="shared" ca="1" si="20"/>
        <v>20729</v>
      </c>
      <c r="S46" s="361">
        <f t="shared" ca="1" si="11"/>
        <v>69</v>
      </c>
    </row>
    <row r="47" spans="1:19">
      <c r="A47" s="159">
        <v>3162</v>
      </c>
      <c r="B47" s="59">
        <v>37.950000000000003</v>
      </c>
      <c r="C47" s="24">
        <f t="shared" si="12"/>
        <v>1.01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v>3</v>
      </c>
      <c r="Q47" s="24">
        <f t="shared" si="19"/>
        <v>0.7</v>
      </c>
      <c r="R47" s="716">
        <f t="shared" ca="1" si="20"/>
        <v>20729</v>
      </c>
      <c r="S47" s="361">
        <f t="shared" ca="1" si="11"/>
        <v>79</v>
      </c>
    </row>
    <row r="48" spans="1:19">
      <c r="A48" s="159">
        <v>3163</v>
      </c>
      <c r="B48" s="59">
        <v>36.76</v>
      </c>
      <c r="C48" s="24">
        <f t="shared" si="12"/>
        <v>1.01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v>3</v>
      </c>
      <c r="Q48" s="24">
        <f t="shared" si="19"/>
        <v>0.7</v>
      </c>
      <c r="R48" s="716">
        <f t="shared" ca="1" si="20"/>
        <v>20729</v>
      </c>
      <c r="S48" s="361">
        <f t="shared" ca="1" si="11"/>
        <v>76</v>
      </c>
    </row>
    <row r="49" spans="1:19">
      <c r="A49" s="159">
        <v>4031</v>
      </c>
      <c r="B49" s="59">
        <v>66.05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v>4</v>
      </c>
      <c r="Q49" s="24">
        <f t="shared" si="19"/>
        <v>0.6</v>
      </c>
      <c r="R49" s="716">
        <f t="shared" ca="1" si="20"/>
        <v>17591</v>
      </c>
      <c r="S49" s="361">
        <f t="shared" ca="1" si="11"/>
        <v>116</v>
      </c>
    </row>
    <row r="50" spans="1:19">
      <c r="A50" s="159">
        <v>4032</v>
      </c>
      <c r="B50" s="59">
        <v>50.35</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v>4</v>
      </c>
      <c r="Q50" s="24">
        <f t="shared" si="19"/>
        <v>0.6</v>
      </c>
      <c r="R50" s="716">
        <f t="shared" ca="1" si="20"/>
        <v>17591</v>
      </c>
      <c r="S50" s="361">
        <f t="shared" ca="1" si="11"/>
        <v>89</v>
      </c>
    </row>
    <row r="51" spans="1:19">
      <c r="A51" s="159">
        <v>4033</v>
      </c>
      <c r="B51" s="59">
        <v>50.34</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v>4</v>
      </c>
      <c r="Q51" s="24">
        <f t="shared" si="19"/>
        <v>0.6</v>
      </c>
      <c r="R51" s="716">
        <f t="shared" ca="1" si="20"/>
        <v>17591</v>
      </c>
      <c r="S51" s="361">
        <f t="shared" ca="1" si="11"/>
        <v>89</v>
      </c>
    </row>
    <row r="52" spans="1:19">
      <c r="A52" s="159">
        <v>4086</v>
      </c>
      <c r="B52" s="59">
        <v>32.729999999999997</v>
      </c>
      <c r="C52" s="24">
        <f t="shared" si="12"/>
        <v>1.01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v>4</v>
      </c>
      <c r="Q52" s="24">
        <f t="shared" si="19"/>
        <v>0.6</v>
      </c>
      <c r="R52" s="716">
        <f t="shared" ca="1" si="20"/>
        <v>17767</v>
      </c>
      <c r="S52" s="361">
        <f t="shared" ca="1" si="11"/>
        <v>58</v>
      </c>
    </row>
    <row r="53" spans="1:19">
      <c r="A53" s="159">
        <v>4109</v>
      </c>
      <c r="B53" s="59">
        <v>25.84</v>
      </c>
      <c r="C53" s="24">
        <f t="shared" si="12"/>
        <v>1.01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v>4</v>
      </c>
      <c r="Q53" s="24">
        <f t="shared" si="19"/>
        <v>0.6</v>
      </c>
      <c r="R53" s="716">
        <f t="shared" ca="1" si="20"/>
        <v>17767</v>
      </c>
      <c r="S53" s="361">
        <f t="shared" ca="1" si="11"/>
        <v>46</v>
      </c>
    </row>
    <row r="54" spans="1:19">
      <c r="A54" s="159">
        <v>4157</v>
      </c>
      <c r="B54" s="59">
        <v>30.7</v>
      </c>
      <c r="C54" s="24">
        <f t="shared" si="12"/>
        <v>1.01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v>4</v>
      </c>
      <c r="Q54" s="24">
        <f t="shared" si="19"/>
        <v>0.6</v>
      </c>
      <c r="R54" s="716">
        <f t="shared" ca="1" si="20"/>
        <v>17767</v>
      </c>
      <c r="S54" s="361">
        <f t="shared" ca="1" si="11"/>
        <v>55</v>
      </c>
    </row>
    <row r="55" spans="1:19">
      <c r="A55" s="159">
        <v>4158</v>
      </c>
      <c r="B55" s="59">
        <v>35.08</v>
      </c>
      <c r="C55" s="24">
        <f t="shared" si="12"/>
        <v>1.01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v>4</v>
      </c>
      <c r="Q55" s="24">
        <f t="shared" si="19"/>
        <v>0.6</v>
      </c>
      <c r="R55" s="716">
        <f t="shared" ca="1" si="20"/>
        <v>17767</v>
      </c>
      <c r="S55" s="361">
        <f t="shared" ref="S55:S77" ca="1" si="21">ROUND(R55*B55/10000,0)</f>
        <v>62</v>
      </c>
    </row>
    <row r="56" spans="1:19">
      <c r="A56" s="159">
        <v>4159</v>
      </c>
      <c r="B56" s="59">
        <v>33.99</v>
      </c>
      <c r="C56" s="24">
        <f t="shared" si="12"/>
        <v>1.01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v>4</v>
      </c>
      <c r="Q56" s="24">
        <f t="shared" si="19"/>
        <v>0.6</v>
      </c>
      <c r="R56" s="716">
        <f t="shared" ca="1" si="20"/>
        <v>17767</v>
      </c>
      <c r="S56" s="361">
        <f t="shared" ca="1" si="21"/>
        <v>60</v>
      </c>
    </row>
    <row r="57" spans="1:19">
      <c r="A57" s="159">
        <v>4181</v>
      </c>
      <c r="B57" s="59">
        <v>934.19</v>
      </c>
      <c r="C57" s="24">
        <f t="shared" si="12"/>
        <v>0.96</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v>4</v>
      </c>
      <c r="Q57" s="24">
        <f t="shared" si="19"/>
        <v>0.6</v>
      </c>
      <c r="R57" s="716">
        <f t="shared" ca="1" si="20"/>
        <v>16888</v>
      </c>
      <c r="S57" s="361">
        <f t="shared" ca="1" si="21"/>
        <v>1578</v>
      </c>
    </row>
    <row r="58" spans="1:19">
      <c r="A58" s="159">
        <v>5087</v>
      </c>
      <c r="B58" s="59">
        <v>37.14</v>
      </c>
      <c r="C58" s="24">
        <f t="shared" si="12"/>
        <v>1.01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v>5</v>
      </c>
      <c r="Q58" s="24">
        <f t="shared" si="19"/>
        <v>0.6</v>
      </c>
      <c r="R58" s="716">
        <f t="shared" ca="1" si="20"/>
        <v>17767</v>
      </c>
      <c r="S58" s="361">
        <f t="shared" ca="1" si="21"/>
        <v>66</v>
      </c>
    </row>
    <row r="59" spans="1:19">
      <c r="A59" s="159">
        <v>5088</v>
      </c>
      <c r="B59" s="59">
        <v>40.68</v>
      </c>
      <c r="C59" s="24">
        <f t="shared" si="12"/>
        <v>1.01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v>5</v>
      </c>
      <c r="Q59" s="24">
        <f t="shared" si="19"/>
        <v>0.6</v>
      </c>
      <c r="R59" s="716">
        <f t="shared" ca="1" si="20"/>
        <v>17767</v>
      </c>
      <c r="S59" s="361">
        <f t="shared" ca="1" si="21"/>
        <v>72</v>
      </c>
    </row>
    <row r="60" spans="1:19">
      <c r="A60" s="159">
        <v>5133</v>
      </c>
      <c r="B60" s="59">
        <v>31.52</v>
      </c>
      <c r="C60" s="24">
        <f t="shared" si="12"/>
        <v>1.01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v>5</v>
      </c>
      <c r="Q60" s="24">
        <f t="shared" si="19"/>
        <v>0.6</v>
      </c>
      <c r="R60" s="716">
        <f t="shared" ca="1" si="20"/>
        <v>17767</v>
      </c>
      <c r="S60" s="361">
        <f t="shared" ca="1" si="21"/>
        <v>56</v>
      </c>
    </row>
    <row r="61" spans="1:19">
      <c r="A61" s="159">
        <v>5134</v>
      </c>
      <c r="B61" s="59">
        <v>36.020000000000003</v>
      </c>
      <c r="C61" s="24">
        <f t="shared" si="12"/>
        <v>1.01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v>5</v>
      </c>
      <c r="Q61" s="24">
        <f t="shared" si="19"/>
        <v>0.6</v>
      </c>
      <c r="R61" s="716">
        <f t="shared" ca="1" si="20"/>
        <v>17767</v>
      </c>
      <c r="S61" s="361">
        <f t="shared" ca="1" si="21"/>
        <v>64</v>
      </c>
    </row>
    <row r="62" spans="1:19">
      <c r="A62" s="159">
        <v>5135</v>
      </c>
      <c r="B62" s="59">
        <v>34.89</v>
      </c>
      <c r="C62" s="24">
        <f t="shared" si="12"/>
        <v>1.01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v>5</v>
      </c>
      <c r="Q62" s="24">
        <f t="shared" si="19"/>
        <v>0.6</v>
      </c>
      <c r="R62" s="716">
        <f t="shared" ca="1" si="20"/>
        <v>17767</v>
      </c>
      <c r="S62" s="361">
        <f t="shared" ca="1" si="21"/>
        <v>62</v>
      </c>
    </row>
    <row r="63" spans="1:19">
      <c r="A63" s="159">
        <v>5152</v>
      </c>
      <c r="B63" s="59">
        <v>37.14</v>
      </c>
      <c r="C63" s="24">
        <f t="shared" si="12"/>
        <v>1.01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v>5</v>
      </c>
      <c r="Q63" s="24">
        <f t="shared" si="19"/>
        <v>0.6</v>
      </c>
      <c r="R63" s="716">
        <f t="shared" ca="1" si="20"/>
        <v>17767</v>
      </c>
      <c r="S63" s="361">
        <f t="shared" ca="1" si="21"/>
        <v>66</v>
      </c>
    </row>
    <row r="64" spans="1:19">
      <c r="A64" s="159">
        <v>5153</v>
      </c>
      <c r="B64" s="59">
        <v>45.69</v>
      </c>
      <c r="C64" s="24">
        <f t="shared" si="12"/>
        <v>1.01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v>5</v>
      </c>
      <c r="Q64" s="24">
        <f t="shared" si="19"/>
        <v>0.6</v>
      </c>
      <c r="R64" s="716">
        <f t="shared" ca="1" si="20"/>
        <v>17767</v>
      </c>
      <c r="S64" s="361">
        <f t="shared" ca="1" si="21"/>
        <v>81</v>
      </c>
    </row>
    <row r="65" spans="1:19">
      <c r="A65" s="159">
        <v>5154</v>
      </c>
      <c r="B65" s="59">
        <v>50.73</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v>5</v>
      </c>
      <c r="Q65" s="24">
        <f t="shared" si="19"/>
        <v>0.6</v>
      </c>
      <c r="R65" s="716">
        <f t="shared" ca="1" si="20"/>
        <v>17591</v>
      </c>
      <c r="S65" s="361">
        <f t="shared" ca="1" si="21"/>
        <v>89</v>
      </c>
    </row>
    <row r="66" spans="1:19">
      <c r="A66" s="159">
        <v>5155</v>
      </c>
      <c r="B66" s="59">
        <v>49.17</v>
      </c>
      <c r="C66" s="24">
        <f t="shared" si="12"/>
        <v>1.01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v>5</v>
      </c>
      <c r="Q66" s="24">
        <f t="shared" si="19"/>
        <v>0.6</v>
      </c>
      <c r="R66" s="716">
        <f t="shared" ca="1" si="20"/>
        <v>17767</v>
      </c>
      <c r="S66" s="361">
        <f t="shared" ca="1" si="21"/>
        <v>87</v>
      </c>
    </row>
    <row r="67" spans="1:19">
      <c r="A67" s="159">
        <v>5156</v>
      </c>
      <c r="B67" s="59">
        <v>44.44</v>
      </c>
      <c r="C67" s="24">
        <f t="shared" si="12"/>
        <v>1.01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v>5</v>
      </c>
      <c r="Q67" s="24">
        <f t="shared" si="19"/>
        <v>0.6</v>
      </c>
      <c r="R67" s="716">
        <f t="shared" ca="1" si="20"/>
        <v>17767</v>
      </c>
      <c r="S67" s="361">
        <f t="shared" ca="1" si="21"/>
        <v>79</v>
      </c>
    </row>
    <row r="68" spans="1:19">
      <c r="A68" s="159">
        <v>5157</v>
      </c>
      <c r="B68" s="59">
        <v>59.76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v>5</v>
      </c>
      <c r="Q68" s="24">
        <f t="shared" si="19"/>
        <v>0.6</v>
      </c>
      <c r="R68" s="716">
        <f t="shared" ca="1" si="20"/>
        <v>17591</v>
      </c>
      <c r="S68" s="361">
        <f t="shared" ca="1" si="21"/>
        <v>105</v>
      </c>
    </row>
    <row r="69" spans="1:19">
      <c r="A69" s="159">
        <v>5158</v>
      </c>
      <c r="B69" s="59">
        <v>36.340000000000003</v>
      </c>
      <c r="C69" s="24">
        <f t="shared" si="12"/>
        <v>1.01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v>5</v>
      </c>
      <c r="Q69" s="24">
        <f t="shared" si="19"/>
        <v>0.6</v>
      </c>
      <c r="R69" s="716">
        <f t="shared" ca="1" si="20"/>
        <v>17767</v>
      </c>
      <c r="S69" s="361">
        <f t="shared" ca="1" si="21"/>
        <v>65</v>
      </c>
    </row>
    <row r="70" spans="1:19">
      <c r="A70" s="159">
        <v>5159</v>
      </c>
      <c r="B70" s="59">
        <v>47.9</v>
      </c>
      <c r="C70" s="24">
        <f t="shared" si="12"/>
        <v>1.01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v>5</v>
      </c>
      <c r="Q70" s="24">
        <f t="shared" si="19"/>
        <v>0.6</v>
      </c>
      <c r="R70" s="716">
        <f t="shared" ca="1" si="20"/>
        <v>17767</v>
      </c>
      <c r="S70" s="361">
        <f t="shared" ca="1" si="21"/>
        <v>85</v>
      </c>
    </row>
    <row r="71" spans="1:19">
      <c r="A71" s="159">
        <v>5160</v>
      </c>
      <c r="B71" s="59">
        <v>36.520000000000003</v>
      </c>
      <c r="C71" s="24">
        <f t="shared" si="12"/>
        <v>1.01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v>5</v>
      </c>
      <c r="Q71" s="24">
        <f t="shared" si="19"/>
        <v>0.6</v>
      </c>
      <c r="R71" s="716">
        <f t="shared" ca="1" si="20"/>
        <v>17767</v>
      </c>
      <c r="S71" s="361">
        <f t="shared" ca="1" si="21"/>
        <v>65</v>
      </c>
    </row>
    <row r="72" spans="1:19">
      <c r="A72" s="159">
        <v>5161</v>
      </c>
      <c r="B72" s="59">
        <v>30.43</v>
      </c>
      <c r="C72" s="24">
        <f t="shared" si="12"/>
        <v>1.01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v>5</v>
      </c>
      <c r="Q72" s="24">
        <f t="shared" si="19"/>
        <v>0.6</v>
      </c>
      <c r="R72" s="716">
        <f t="shared" ca="1" si="20"/>
        <v>17767</v>
      </c>
      <c r="S72" s="361">
        <f t="shared" ca="1" si="21"/>
        <v>54</v>
      </c>
    </row>
    <row r="73" spans="1:19">
      <c r="A73" s="159">
        <v>5170</v>
      </c>
      <c r="B73" s="59">
        <v>36.520000000000003</v>
      </c>
      <c r="C73" s="24">
        <f t="shared" si="12"/>
        <v>1.01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v>5</v>
      </c>
      <c r="Q73" s="24">
        <f t="shared" si="19"/>
        <v>0.6</v>
      </c>
      <c r="R73" s="716">
        <f t="shared" ca="1" si="20"/>
        <v>17767</v>
      </c>
      <c r="S73" s="361">
        <f t="shared" ca="1" si="21"/>
        <v>65</v>
      </c>
    </row>
    <row r="74" spans="1:19">
      <c r="A74" s="159">
        <v>5197</v>
      </c>
      <c r="B74" s="59">
        <v>38.18</v>
      </c>
      <c r="C74" s="24">
        <f t="shared" si="12"/>
        <v>1.01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v>5</v>
      </c>
      <c r="Q74" s="24">
        <f t="shared" si="19"/>
        <v>0.6</v>
      </c>
      <c r="R74" s="716">
        <f t="shared" ca="1" si="20"/>
        <v>17767</v>
      </c>
      <c r="S74" s="361">
        <f t="shared" ca="1" si="21"/>
        <v>68</v>
      </c>
    </row>
    <row r="75" spans="1:19">
      <c r="A75" s="159">
        <v>5198</v>
      </c>
      <c r="B75" s="59">
        <v>38.18</v>
      </c>
      <c r="C75" s="24">
        <f t="shared" si="12"/>
        <v>1.01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v>5</v>
      </c>
      <c r="Q75" s="24">
        <f t="shared" si="19"/>
        <v>0.6</v>
      </c>
      <c r="R75" s="716">
        <f t="shared" ca="1" si="20"/>
        <v>17767</v>
      </c>
      <c r="S75" s="361">
        <f t="shared" ca="1" si="21"/>
        <v>68</v>
      </c>
    </row>
    <row r="76" spans="1:19">
      <c r="A76" s="159">
        <v>5199</v>
      </c>
      <c r="B76" s="59">
        <v>41.82</v>
      </c>
      <c r="C76" s="24">
        <f t="shared" si="12"/>
        <v>1.01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v>5</v>
      </c>
      <c r="Q76" s="24">
        <f t="shared" si="19"/>
        <v>0.6</v>
      </c>
      <c r="R76" s="716">
        <f t="shared" ca="1" si="20"/>
        <v>17767</v>
      </c>
      <c r="S76" s="361">
        <f t="shared" ca="1" si="21"/>
        <v>74</v>
      </c>
    </row>
    <row r="77" spans="1:19">
      <c r="A77" s="159">
        <v>5260</v>
      </c>
      <c r="B77" s="59">
        <v>51.46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v>5</v>
      </c>
      <c r="Q77" s="24">
        <f t="shared" si="19"/>
        <v>0.6</v>
      </c>
      <c r="R77" s="716">
        <f t="shared" ca="1" si="20"/>
        <v>17591</v>
      </c>
      <c r="S77" s="361">
        <f t="shared" ca="1" si="21"/>
        <v>91</v>
      </c>
    </row>
    <row r="78" spans="1:19">
      <c r="A78" s="159">
        <v>5261</v>
      </c>
      <c r="B78" s="59">
        <v>41.5</v>
      </c>
      <c r="C78" s="24">
        <f t="shared" si="12"/>
        <v>1.01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v>5</v>
      </c>
      <c r="Q78" s="24">
        <f t="shared" si="19"/>
        <v>0.6</v>
      </c>
      <c r="R78" s="716">
        <f t="shared" ca="1" si="20"/>
        <v>17767</v>
      </c>
      <c r="S78" s="361">
        <f t="shared" ref="S78:S122" ca="1" si="22">ROUND(R78*B78/10000,0)</f>
        <v>74</v>
      </c>
    </row>
    <row r="79" spans="1:19">
      <c r="A79" s="159">
        <v>5262</v>
      </c>
      <c r="B79" s="59">
        <v>35.97</v>
      </c>
      <c r="C79" s="24">
        <f t="shared" si="12"/>
        <v>1.01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v>5</v>
      </c>
      <c r="Q79" s="24">
        <f t="shared" si="19"/>
        <v>0.6</v>
      </c>
      <c r="R79" s="716">
        <f t="shared" ca="1" si="20"/>
        <v>17767</v>
      </c>
      <c r="S79" s="361">
        <f t="shared" ca="1" si="22"/>
        <v>64</v>
      </c>
    </row>
    <row r="80" spans="1:19">
      <c r="A80" s="159">
        <v>5283</v>
      </c>
      <c r="B80" s="59">
        <v>36.44</v>
      </c>
      <c r="C80" s="24">
        <f t="shared" si="12"/>
        <v>1.01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v>5</v>
      </c>
      <c r="Q80" s="24">
        <f t="shared" si="19"/>
        <v>0.6</v>
      </c>
      <c r="R80" s="716">
        <f t="shared" ca="1" si="20"/>
        <v>17767</v>
      </c>
      <c r="S80" s="361">
        <f t="shared" ca="1" si="22"/>
        <v>65</v>
      </c>
    </row>
    <row r="81" spans="1:19">
      <c r="A81" s="159">
        <v>5336</v>
      </c>
      <c r="B81" s="59">
        <v>36.479999999999997</v>
      </c>
      <c r="C81" s="24">
        <f t="shared" si="12"/>
        <v>1.01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v>5</v>
      </c>
      <c r="Q81" s="24">
        <f t="shared" si="19"/>
        <v>0.6</v>
      </c>
      <c r="R81" s="716">
        <f t="shared" ca="1" si="20"/>
        <v>17767</v>
      </c>
      <c r="S81" s="361">
        <f t="shared" ca="1" si="22"/>
        <v>65</v>
      </c>
    </row>
    <row r="82" spans="1:19">
      <c r="A82" s="159">
        <v>6087</v>
      </c>
      <c r="B82" s="59">
        <v>36.56</v>
      </c>
      <c r="C82" s="24">
        <f t="shared" si="12"/>
        <v>1.01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v>6</v>
      </c>
      <c r="Q82" s="24">
        <f t="shared" si="19"/>
        <v>0.6</v>
      </c>
      <c r="R82" s="716">
        <f t="shared" ca="1" si="20"/>
        <v>17767</v>
      </c>
      <c r="S82" s="361">
        <f t="shared" ca="1" si="22"/>
        <v>65</v>
      </c>
    </row>
    <row r="83" spans="1:19">
      <c r="A83" s="159">
        <v>6088</v>
      </c>
      <c r="B83" s="59">
        <v>40.04</v>
      </c>
      <c r="C83" s="24">
        <f t="shared" si="12"/>
        <v>1.01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v>6</v>
      </c>
      <c r="Q83" s="24">
        <f t="shared" si="19"/>
        <v>0.6</v>
      </c>
      <c r="R83" s="716">
        <f t="shared" ca="1" si="20"/>
        <v>17767</v>
      </c>
      <c r="S83" s="361">
        <f t="shared" ca="1" si="22"/>
        <v>71</v>
      </c>
    </row>
    <row r="84" spans="1:19">
      <c r="A84" s="159">
        <v>6133</v>
      </c>
      <c r="B84" s="59">
        <v>31.02</v>
      </c>
      <c r="C84" s="24">
        <f t="shared" si="12"/>
        <v>1.01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v>6</v>
      </c>
      <c r="Q84" s="24">
        <f t="shared" si="19"/>
        <v>0.6</v>
      </c>
      <c r="R84" s="716">
        <f t="shared" ca="1" si="20"/>
        <v>17767</v>
      </c>
      <c r="S84" s="361">
        <f t="shared" ca="1" si="22"/>
        <v>55</v>
      </c>
    </row>
    <row r="85" spans="1:19">
      <c r="A85" s="159">
        <v>6134</v>
      </c>
      <c r="B85" s="59">
        <v>35.450000000000003</v>
      </c>
      <c r="C85" s="24">
        <f t="shared" si="12"/>
        <v>1.01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v>6</v>
      </c>
      <c r="Q85" s="24">
        <f t="shared" si="19"/>
        <v>0.6</v>
      </c>
      <c r="R85" s="716">
        <f t="shared" ca="1" si="20"/>
        <v>17767</v>
      </c>
      <c r="S85" s="361">
        <f t="shared" ca="1" si="22"/>
        <v>63</v>
      </c>
    </row>
    <row r="86" spans="1:19">
      <c r="A86" s="159">
        <v>6135</v>
      </c>
      <c r="B86" s="59">
        <v>34.35</v>
      </c>
      <c r="C86" s="24">
        <f t="shared" si="12"/>
        <v>1.01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v>6</v>
      </c>
      <c r="Q86" s="24">
        <f t="shared" si="19"/>
        <v>0.6</v>
      </c>
      <c r="R86" s="716">
        <f t="shared" ca="1" si="20"/>
        <v>17767</v>
      </c>
      <c r="S86" s="361">
        <f t="shared" ca="1" si="22"/>
        <v>61</v>
      </c>
    </row>
    <row r="87" spans="1:19">
      <c r="A87" s="159">
        <v>6218</v>
      </c>
      <c r="B87" s="59">
        <v>35.79</v>
      </c>
      <c r="C87" s="24">
        <f t="shared" si="12"/>
        <v>1.01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v>6</v>
      </c>
      <c r="Q87" s="24">
        <f t="shared" si="19"/>
        <v>0.6</v>
      </c>
      <c r="R87" s="716">
        <f t="shared" ca="1" si="20"/>
        <v>17767</v>
      </c>
      <c r="S87" s="361">
        <f t="shared" ca="1" si="22"/>
        <v>64</v>
      </c>
    </row>
    <row r="88" spans="1:19">
      <c r="A88" s="159">
        <v>6249</v>
      </c>
      <c r="B88" s="59">
        <v>6834.53</v>
      </c>
      <c r="C88" s="24">
        <f t="shared" si="12"/>
        <v>0.93</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v>6</v>
      </c>
      <c r="Q88" s="24">
        <f t="shared" si="19"/>
        <v>0.6</v>
      </c>
      <c r="R88" s="716">
        <f t="shared" ca="1" si="20"/>
        <v>16360</v>
      </c>
      <c r="S88" s="361">
        <f t="shared" ca="1" si="22"/>
        <v>11181</v>
      </c>
    </row>
    <row r="89" spans="1:19">
      <c r="A89" s="159">
        <v>-1001</v>
      </c>
      <c r="B89" s="59">
        <v>1545.37</v>
      </c>
      <c r="C89" s="24">
        <f t="shared" si="12"/>
        <v>0.95</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v>-1</v>
      </c>
      <c r="Q89" s="24">
        <f t="shared" si="19"/>
        <v>0.5</v>
      </c>
      <c r="R89" s="716">
        <f t="shared" ca="1" si="20"/>
        <v>13927</v>
      </c>
      <c r="S89" s="361">
        <f t="shared" ca="1" si="22"/>
        <v>2152</v>
      </c>
    </row>
    <row r="90" spans="1:19">
      <c r="A90" s="159">
        <v>-1002</v>
      </c>
      <c r="B90" s="59">
        <v>940.27</v>
      </c>
      <c r="C90" s="24">
        <f t="shared" ref="C90:C153" si="23">IF(B90="",1,(LOOKUP(B90,$3:$3,$4:$4)-LOOKUP($B$24,$3:$3,$4:$4)+100)/100)</f>
        <v>0.96</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v>-1</v>
      </c>
      <c r="Q90" s="24">
        <f t="shared" ref="Q90:Q153" si="30">(SUMIF($17:$17,P90,$18:$18)-SUMIF($17:$17,$P$24,$18:$18)+100)/100</f>
        <v>0.5</v>
      </c>
      <c r="R90" s="716">
        <f t="shared" ref="R90:R153" ca="1" si="31">IF(B90="",0,ROUND($R$24*C90*E90*G90*I90*K90*M90*O90*Q90,0))</f>
        <v>14073</v>
      </c>
      <c r="S90" s="361">
        <f t="shared" ca="1" si="22"/>
        <v>1323</v>
      </c>
    </row>
    <row r="91" spans="1:19">
      <c r="A91" s="159">
        <v>-1003</v>
      </c>
      <c r="B91" s="59">
        <v>1013.83</v>
      </c>
      <c r="C91" s="24">
        <f t="shared" si="23"/>
        <v>0.95</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v>-1</v>
      </c>
      <c r="Q91" s="24">
        <f t="shared" si="30"/>
        <v>0.5</v>
      </c>
      <c r="R91" s="716">
        <f t="shared" ca="1" si="31"/>
        <v>13927</v>
      </c>
      <c r="S91" s="361">
        <f t="shared" ca="1" si="22"/>
        <v>1412</v>
      </c>
    </row>
    <row r="92" spans="1:19">
      <c r="A92" s="159">
        <v>-1004</v>
      </c>
      <c r="B92" s="59">
        <v>810.82</v>
      </c>
      <c r="C92" s="24">
        <f t="shared" si="23"/>
        <v>0.96</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v>-1</v>
      </c>
      <c r="Q92" s="24">
        <f t="shared" si="30"/>
        <v>0.5</v>
      </c>
      <c r="R92" s="716">
        <f t="shared" ca="1" si="31"/>
        <v>14073</v>
      </c>
      <c r="S92" s="361">
        <f t="shared" ca="1" si="22"/>
        <v>1141</v>
      </c>
    </row>
    <row r="93" spans="1:19">
      <c r="A93" s="159">
        <v>1005</v>
      </c>
      <c r="B93" s="59">
        <v>38.950000000000003</v>
      </c>
      <c r="C93" s="24">
        <f t="shared" si="23"/>
        <v>1.01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v>1</v>
      </c>
      <c r="Q93" s="24">
        <f t="shared" si="30"/>
        <v>1</v>
      </c>
      <c r="R93" s="716">
        <f t="shared" ca="1" si="31"/>
        <v>29612</v>
      </c>
      <c r="S93" s="361">
        <f t="shared" ca="1" si="22"/>
        <v>115</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v>1</v>
      </c>
      <c r="Q94" s="24">
        <f t="shared" si="30"/>
        <v>1</v>
      </c>
      <c r="R94" s="716">
        <f t="shared" si="31"/>
        <v>0</v>
      </c>
      <c r="S94" s="361">
        <f t="shared" si="22"/>
        <v>0</v>
      </c>
    </row>
    <row r="95" spans="1:19">
      <c r="A95" s="159">
        <v>1013</v>
      </c>
      <c r="B95" s="59">
        <v>3.78</v>
      </c>
      <c r="C95" s="24">
        <f t="shared" si="23"/>
        <v>1.01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v>1</v>
      </c>
      <c r="Q95" s="24">
        <f t="shared" si="30"/>
        <v>1</v>
      </c>
      <c r="R95" s="716">
        <f t="shared" ca="1" si="31"/>
        <v>29612</v>
      </c>
      <c r="S95" s="361">
        <f t="shared" ca="1" si="22"/>
        <v>11</v>
      </c>
    </row>
    <row r="96" spans="1:19">
      <c r="A96" s="159">
        <v>1355</v>
      </c>
      <c r="B96" s="59">
        <v>13.26</v>
      </c>
      <c r="C96" s="24">
        <f t="shared" si="23"/>
        <v>1.01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v>1</v>
      </c>
      <c r="Q96" s="24">
        <f t="shared" si="30"/>
        <v>1</v>
      </c>
      <c r="R96" s="716">
        <f t="shared" ca="1" si="31"/>
        <v>29612</v>
      </c>
      <c r="S96" s="361">
        <f t="shared" ca="1" si="22"/>
        <v>39</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32220</v>
      </c>
      <c r="C2" s="2" t="s">
        <v>133</v>
      </c>
      <c r="D2" s="243"/>
      <c r="E2" s="243"/>
      <c r="F2" s="243"/>
      <c r="G2" s="243"/>
    </row>
    <row r="3" spans="1:7" s="244" customFormat="1" ht="18" customHeight="1" thickBot="1">
      <c r="A3" s="247" t="s">
        <v>85</v>
      </c>
      <c r="B3" s="248">
        <f ca="1">ROUND(B2*10000/'数据-汇总表'!E3,0)</f>
        <v>8819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511</v>
      </c>
      <c r="D10" s="1032">
        <f>'数据-汇总表'!E6</f>
        <v>36535.62999999999</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731</v>
      </c>
      <c r="D19" s="1036">
        <f>'数据-汇总表'!E3</f>
        <v>36535.62999999999</v>
      </c>
      <c r="E19" s="255">
        <f>'数据-取费表'!B31</f>
        <v>200</v>
      </c>
      <c r="F19" s="275"/>
      <c r="G19" s="1" t="s">
        <v>1071</v>
      </c>
    </row>
    <row r="20" spans="1:7" s="258" customFormat="1" ht="13.5" customHeight="1">
      <c r="A20" s="948" t="s">
        <v>1054</v>
      </c>
      <c r="B20" s="254" t="s">
        <v>104</v>
      </c>
      <c r="C20" s="276">
        <f>ROUND((C5+C19)*F20,0)</f>
        <v>427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2651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90</v>
      </c>
      <c r="D24" s="282"/>
      <c r="E24" s="282"/>
      <c r="F24" s="283"/>
      <c r="G24" s="284" t="s">
        <v>109</v>
      </c>
    </row>
    <row r="25" spans="1:7" s="258" customFormat="1" ht="24">
      <c r="A25" s="951" t="s">
        <v>793</v>
      </c>
      <c r="B25" s="259" t="s">
        <v>1055</v>
      </c>
      <c r="C25" s="1355">
        <f ca="1">ROUND(IF('数据-取费表'!B22&lt;=1,C20*F22*'数据-取费表'!B23/2,C20*(POWER((1+F22),'数据-取费表'!B23/2)-1)),0)</f>
        <v>26</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4354</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4354</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31225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751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19</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731</v>
      </c>
      <c r="D37" s="261">
        <f>'数据-汇总表'!E3</f>
        <v>36535.62999999999</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45</v>
      </c>
      <c r="D42" s="282"/>
      <c r="E42" s="282"/>
      <c r="F42" s="283"/>
      <c r="G42" s="3160" t="s">
        <v>121</v>
      </c>
    </row>
    <row r="43" spans="1:7" ht="13.5" customHeight="1">
      <c r="A43" s="951" t="s">
        <v>792</v>
      </c>
      <c r="B43" s="259" t="s">
        <v>1061</v>
      </c>
      <c r="C43" s="282">
        <f ca="1">ROUND(IF('数据-取费表'!B22&lt;=1,C39*F22*'数据-取费表'!B21/2,C39*(POWER((1+F22),'数据-取费表'!B21/2)-1)),0)</f>
        <v>1</v>
      </c>
      <c r="D43" s="282"/>
      <c r="E43" s="282"/>
      <c r="F43" s="283"/>
      <c r="G43" s="3161"/>
    </row>
    <row r="44" spans="1:7" ht="13.5" customHeight="1">
      <c r="A44" s="951" t="s">
        <v>793</v>
      </c>
      <c r="B44" s="259" t="s">
        <v>1063</v>
      </c>
      <c r="C44" s="282">
        <f ca="1">ROUND(IF('数据-取费表'!B22&lt;=1,C40*F22*'数据-取费表'!B21/2,C40*(POWER((1+F22),'数据-取费表'!B21/2)-1)),4)</f>
        <v>1.1999999999999999E-3</v>
      </c>
      <c r="D44" s="282"/>
      <c r="E44" s="282"/>
      <c r="F44" s="283"/>
      <c r="G44" s="3162"/>
    </row>
    <row r="45" spans="1:7" s="258" customFormat="1" ht="13.5" customHeight="1">
      <c r="A45" s="948" t="s">
        <v>786</v>
      </c>
      <c r="B45" s="288" t="s">
        <v>112</v>
      </c>
      <c r="C45" s="289">
        <f>C46</f>
        <v>153</v>
      </c>
      <c r="D45" s="279">
        <f>C47</f>
        <v>4.0000000000000001E-3</v>
      </c>
      <c r="E45" s="280" t="s">
        <v>129</v>
      </c>
      <c r="F45" s="290"/>
      <c r="G45" s="291" t="s">
        <v>1069</v>
      </c>
    </row>
    <row r="46" spans="1:7" s="258" customFormat="1" ht="13.5" customHeight="1">
      <c r="A46" s="951" t="s">
        <v>794</v>
      </c>
      <c r="B46" s="292" t="s">
        <v>1062</v>
      </c>
      <c r="C46" s="293">
        <f>ROUND((C33+C39)*F27,0)</f>
        <v>153</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1047</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995</v>
      </c>
      <c r="D51" s="276"/>
      <c r="E51" s="276"/>
      <c r="F51" s="308"/>
      <c r="G51" s="278" t="s">
        <v>64</v>
      </c>
    </row>
    <row r="52" spans="1:7" s="252" customFormat="1" ht="16.5" thickBot="1">
      <c r="A52" s="309" t="s">
        <v>65</v>
      </c>
      <c r="B52" s="310"/>
      <c r="C52" s="311">
        <f ca="1">C31+C51</f>
        <v>32220</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43619</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4" t="s">
        <v>1634</v>
      </c>
      <c r="E3" s="1044" t="s">
        <v>1640</v>
      </c>
      <c r="F3" s="1044" t="s">
        <v>1634</v>
      </c>
      <c r="G3" s="1044" t="s">
        <v>1635</v>
      </c>
      <c r="H3" s="1044" t="s">
        <v>1634</v>
      </c>
      <c r="I3" s="1044" t="s">
        <v>1635</v>
      </c>
    </row>
    <row r="4" spans="1:9" ht="15">
      <c r="A4" s="1973" t="str">
        <f>项目基本情况!S2</f>
        <v>房地产</v>
      </c>
      <c r="B4" s="1044">
        <f>项目基本情况!C17</f>
        <v>36535.62999999999</v>
      </c>
      <c r="C4" s="1044">
        <f>项目基本情况!C18</f>
        <v>10174.82</v>
      </c>
      <c r="D4" s="1044">
        <f ca="1">结果表!D118</f>
        <v>107</v>
      </c>
      <c r="E4" s="1044">
        <f ca="1">结果表!E118</f>
        <v>19529</v>
      </c>
      <c r="F4" s="1044">
        <f ca="1">结果表!F118</f>
        <v>53</v>
      </c>
      <c r="G4" s="1044">
        <f ca="1">结果表!G118</f>
        <v>9673</v>
      </c>
      <c r="H4" s="1044">
        <f ca="1">结果表!H118</f>
        <v>160</v>
      </c>
      <c r="I4" s="1044">
        <f ca="1">结果表!I118</f>
        <v>29202</v>
      </c>
    </row>
    <row r="5" spans="1:9" ht="30" customHeight="1">
      <c r="A5" s="2987" t="s">
        <v>1636</v>
      </c>
      <c r="B5" s="2987"/>
      <c r="C5" s="2987"/>
      <c r="D5" s="2988" t="str">
        <f ca="1">结果表!D119</f>
        <v>壹佰零柒万元整</v>
      </c>
      <c r="E5" s="2988"/>
      <c r="F5" s="2988" t="str">
        <f ca="1">结果表!F119</f>
        <v>伍拾叁万元整</v>
      </c>
      <c r="G5" s="2988"/>
      <c r="H5" s="2988" t="str">
        <f ca="1">结果表!H119</f>
        <v>壹佰陆拾万元整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1636</v>
      </c>
      <c r="B7" s="2987"/>
      <c r="C7" s="2987"/>
      <c r="D7" s="2990" t="str">
        <f>结果表!D121</f>
        <v>零元整</v>
      </c>
      <c r="E7" s="2991"/>
      <c r="F7" s="2991"/>
      <c r="G7" s="2991"/>
      <c r="H7" s="2991"/>
      <c r="I7" s="2992"/>
    </row>
    <row r="8" spans="1:9" ht="15.75">
      <c r="A8" s="2989" t="str">
        <f>结果表!A122</f>
        <v>房地产抵押价值</v>
      </c>
      <c r="B8" s="2989"/>
      <c r="C8" s="2989"/>
      <c r="D8" s="2989">
        <f ca="1">结果表!D122</f>
        <v>160</v>
      </c>
      <c r="E8" s="2989"/>
      <c r="F8" s="2989"/>
      <c r="G8" s="2989"/>
      <c r="H8" s="2989"/>
      <c r="I8" s="2989"/>
    </row>
    <row r="9" spans="1:9" ht="15">
      <c r="A9" s="2987" t="s">
        <v>1636</v>
      </c>
      <c r="B9" s="2987"/>
      <c r="C9" s="2987"/>
      <c r="D9" s="2988" t="str">
        <f ca="1">结果表!D123</f>
        <v>壹佰陆拾万元整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1636</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1636</v>
      </c>
      <c r="B13" s="2993"/>
      <c r="C13" s="2993"/>
      <c r="D13" s="2994" t="e">
        <f>结果表!D127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6" t="s">
        <v>1658</v>
      </c>
      <c r="B1" s="2996"/>
      <c r="C1" s="2996"/>
      <c r="D1" s="2996"/>
    </row>
    <row r="2" spans="1:4" ht="18">
      <c r="A2" s="2997" t="s">
        <v>1642</v>
      </c>
      <c r="B2" s="2997"/>
      <c r="C2" s="2997"/>
      <c r="D2" s="2997"/>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7" t="s">
        <v>1648</v>
      </c>
      <c r="B6" s="2997"/>
      <c r="C6" s="2997"/>
      <c r="D6" s="2997"/>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8" t="s">
        <v>1651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1652</v>
      </c>
      <c r="B16" s="3002"/>
      <c r="C16" s="3002"/>
      <c r="D16" s="3002"/>
    </row>
    <row r="17" spans="1:4" ht="144" customHeight="1">
      <c r="A17" s="3002" t="s">
        <v>1653</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1654</v>
      </c>
      <c r="B22" s="3004"/>
      <c r="C22" s="3004"/>
      <c r="D22" s="300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0" t="s">
        <v>1665</v>
      </c>
      <c r="B15" s="3005" t="s">
        <v>136</v>
      </c>
      <c r="C15" s="3006"/>
    </row>
    <row r="16" spans="1:7" ht="13.5">
      <c r="A16" s="3011"/>
      <c r="B16" s="3005" t="s">
        <v>69</v>
      </c>
      <c r="C16" s="3006"/>
    </row>
    <row r="17" spans="1:3" ht="13.5">
      <c r="A17" s="3011"/>
      <c r="B17" s="3008" t="s">
        <v>1666</v>
      </c>
      <c r="C17" s="2000" t="s">
        <v>1665</v>
      </c>
    </row>
    <row r="18" spans="1:3" ht="13.5">
      <c r="A18" s="3011"/>
      <c r="B18" s="3008"/>
      <c r="C18" s="2000" t="s">
        <v>1667</v>
      </c>
    </row>
    <row r="19" spans="1:3" ht="13.5">
      <c r="A19" s="3011"/>
      <c r="B19" s="3008"/>
      <c r="C19" s="2000" t="s">
        <v>1668</v>
      </c>
    </row>
    <row r="20" spans="1:3" ht="13.5">
      <c r="A20" s="3012"/>
      <c r="B20" s="3007" t="s">
        <v>1669</v>
      </c>
      <c r="C20" s="3006"/>
    </row>
    <row r="21" spans="1:3" ht="13.5">
      <c r="A21" s="2001" t="s">
        <v>1670</v>
      </c>
      <c r="B21" s="2002"/>
      <c r="C21" s="2003"/>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0" t="s">
        <v>1676</v>
      </c>
    </row>
    <row r="26" spans="1:3" ht="13.5">
      <c r="A26" s="3009"/>
      <c r="B26" s="3008"/>
      <c r="C26" s="2000" t="s">
        <v>1677</v>
      </c>
    </row>
    <row r="27" spans="1:3" ht="13.5">
      <c r="A27" s="3009"/>
      <c r="B27" s="3008"/>
      <c r="C27" s="2000" t="s">
        <v>1678</v>
      </c>
    </row>
    <row r="28" spans="1:3" ht="13.5">
      <c r="A28" s="3009"/>
      <c r="B28" s="3008"/>
      <c r="C28" s="2000" t="s">
        <v>1679</v>
      </c>
    </row>
    <row r="29" spans="1:3" ht="13.5">
      <c r="A29" s="3009"/>
      <c r="B29" s="3008"/>
      <c r="C29" s="2000" t="s">
        <v>1680</v>
      </c>
    </row>
    <row r="30" spans="1:3" ht="13.5">
      <c r="A30" s="3009"/>
      <c r="B30" s="3008"/>
      <c r="C30" s="2000" t="s">
        <v>1681</v>
      </c>
    </row>
    <row r="31" spans="1:3" ht="13.5">
      <c r="A31" s="3009"/>
      <c r="B31" s="3008"/>
      <c r="C31" s="2000" t="s">
        <v>1682</v>
      </c>
    </row>
    <row r="32" spans="1:3" ht="13.5">
      <c r="A32" s="3009"/>
      <c r="B32" s="3008"/>
      <c r="C32" s="2000" t="s">
        <v>1683</v>
      </c>
    </row>
    <row r="33" spans="1:3" ht="13.5">
      <c r="A33" s="3009"/>
      <c r="B33" s="300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43626</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t="str">
        <f ca="1">IF(C11&lt;B2,"已过期",1120100036)</f>
        <v>已过期</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3046</v>
      </c>
      <c r="B14" s="1022">
        <f ca="1">IF(C14&lt;B2,"已过期",1120040230)</f>
        <v>1120040230</v>
      </c>
      <c r="C14" s="2349">
        <v>43835</v>
      </c>
      <c r="D14" s="2352" t="s">
        <v>3046</v>
      </c>
      <c r="E14" s="1022">
        <f ca="1">IF(F14&lt;B2,"已过期",98030020)</f>
        <v>98030020</v>
      </c>
      <c r="F14" s="1030">
        <v>47118</v>
      </c>
    </row>
    <row r="15" spans="1:6" ht="24" customHeight="1">
      <c r="A15" s="1703" t="s">
        <v>3047</v>
      </c>
      <c r="B15" s="1022">
        <f ca="1">IF(C15&lt;B2,"已过期",1120070085)</f>
        <v>1120070085</v>
      </c>
      <c r="C15" s="2349">
        <v>43814</v>
      </c>
      <c r="D15" s="2353" t="s">
        <v>3047</v>
      </c>
      <c r="E15" s="1022">
        <f ca="1">IF(F15&lt;B2,"已过期",2004110128)</f>
        <v>2004110128</v>
      </c>
      <c r="F15" s="1023">
        <v>47118</v>
      </c>
    </row>
    <row r="16" spans="1:6" ht="24" customHeight="1">
      <c r="A16" s="1702" t="s">
        <v>3048</v>
      </c>
      <c r="B16" s="1022">
        <f ca="1">IF(C16&lt;B2,"已过期",1120140022)</f>
        <v>1120140022</v>
      </c>
      <c r="C16" s="2932">
        <v>44029</v>
      </c>
      <c r="D16" s="2352" t="s">
        <v>3048</v>
      </c>
      <c r="E16" s="1022">
        <f ca="1">IF(F16&lt;B2,"已过期",2008110059)</f>
        <v>2008110059</v>
      </c>
      <c r="F16" s="1030">
        <v>47177</v>
      </c>
    </row>
    <row r="17" spans="1:7" ht="24" customHeight="1">
      <c r="A17" s="1702"/>
      <c r="B17" s="1022"/>
      <c r="C17" s="2349"/>
      <c r="D17" s="2352" t="s">
        <v>3049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3" t="s">
        <v>843</v>
      </c>
      <c r="B25" s="3013"/>
      <c r="C25" s="3013"/>
      <c r="D25" s="3013"/>
      <c r="E25" s="3013"/>
      <c r="F25" s="3013"/>
      <c r="G25" s="3013"/>
    </row>
    <row r="26" spans="1:7" s="1025" customFormat="1" ht="24" customHeight="1">
      <c r="A26" s="3014" t="s">
        <v>844</v>
      </c>
      <c r="B26" s="3014"/>
      <c r="C26" s="3015"/>
      <c r="D26" s="3016" t="s">
        <v>845</v>
      </c>
      <c r="E26" s="3014"/>
      <c r="F26" s="3014"/>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案例</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2019-06-10T08:13:30Z</dcterms:modified>
</cp:coreProperties>
</file>