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1430" windowHeight="110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结果表-商业" sheetId="84" r:id="rId37"/>
    <sheet name="成本法-商业" sheetId="83" r:id="rId38"/>
    <sheet name="收益法-商业" sheetId="81" r:id="rId39"/>
    <sheet name="基准地价修正-商业" sheetId="82"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1" sheetId="80"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37">'成本法-商业'!$A$1:$G$57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6">'结果表-商业'!$A$1:$I$127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E15" i="80" l="1"/>
  <c r="G5" i="80" l="1"/>
  <c r="D5" i="80"/>
  <c r="D6" i="80"/>
  <c r="G4" i="80"/>
  <c r="U2" i="82" l="1"/>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8" i="84"/>
  <c r="B118" i="84" s="1"/>
  <c r="B15" i="74" s="1"/>
  <c r="D17" i="84"/>
  <c r="C17" i="84"/>
  <c r="L4" i="84"/>
  <c r="K4" i="84"/>
  <c r="A2" i="84"/>
  <c r="H1" i="84"/>
  <c r="F48" i="83"/>
  <c r="G41" i="83"/>
  <c r="F38" i="83"/>
  <c r="E37" i="83"/>
  <c r="F36" i="83"/>
  <c r="F35" i="83"/>
  <c r="F34" i="83"/>
  <c r="F30" i="83"/>
  <c r="C48" i="83" s="1"/>
  <c r="C30" i="83"/>
  <c r="G22" i="83"/>
  <c r="F21" i="83"/>
  <c r="F40" i="83" s="1"/>
  <c r="F20" i="83"/>
  <c r="F39" i="83" s="1"/>
  <c r="E19" i="83"/>
  <c r="C19" i="83"/>
  <c r="E10" i="83"/>
  <c r="E9" i="83"/>
  <c r="F7" i="83"/>
  <c r="G1" i="83"/>
  <c r="D1" i="82"/>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M100" i="82"/>
  <c r="N100" i="82" s="1"/>
  <c r="K100" i="82"/>
  <c r="J100" i="82"/>
  <c r="D100" i="82"/>
  <c r="B100" i="82"/>
  <c r="N99" i="82"/>
  <c r="M99" i="82"/>
  <c r="K99" i="82"/>
  <c r="J99" i="82" s="1"/>
  <c r="D99" i="82"/>
  <c r="B99" i="82"/>
  <c r="M98" i="82"/>
  <c r="N98" i="82" s="1"/>
  <c r="K98" i="82"/>
  <c r="J98" i="82"/>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F93" i="82"/>
  <c r="H100" i="82" s="1"/>
  <c r="E93" i="82"/>
  <c r="D93" i="82"/>
  <c r="B91" i="82"/>
  <c r="M90" i="82"/>
  <c r="N90" i="82" s="1"/>
  <c r="K90" i="82"/>
  <c r="J90" i="82"/>
  <c r="D90" i="82"/>
  <c r="B90" i="82"/>
  <c r="N89" i="82"/>
  <c r="M89" i="82"/>
  <c r="K89" i="82"/>
  <c r="J89" i="82" s="1"/>
  <c r="D89" i="82"/>
  <c r="N88" i="82"/>
  <c r="M88" i="82"/>
  <c r="K88" i="82"/>
  <c r="J88" i="82" s="1"/>
  <c r="D88" i="82"/>
  <c r="B88" i="82"/>
  <c r="M87" i="82"/>
  <c r="N87" i="82" s="1"/>
  <c r="K87" i="82"/>
  <c r="J87" i="82"/>
  <c r="D87" i="82"/>
  <c r="B87" i="82"/>
  <c r="N86" i="82"/>
  <c r="M86" i="82"/>
  <c r="K86" i="82"/>
  <c r="J86" i="82" s="1"/>
  <c r="D86" i="82"/>
  <c r="B86" i="82"/>
  <c r="M85" i="82"/>
  <c r="N85" i="82" s="1"/>
  <c r="K85" i="82"/>
  <c r="J85" i="82"/>
  <c r="D85" i="82"/>
  <c r="B85" i="82"/>
  <c r="N84" i="82"/>
  <c r="M84" i="82"/>
  <c r="K84" i="82"/>
  <c r="J84" i="82" s="1"/>
  <c r="D84" i="82"/>
  <c r="B84" i="82"/>
  <c r="M83" i="82"/>
  <c r="N83" i="82" s="1"/>
  <c r="K83" i="82"/>
  <c r="J83" i="82"/>
  <c r="F83" i="82"/>
  <c r="H89" i="82" s="1"/>
  <c r="D83" i="82"/>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N75" i="82"/>
  <c r="M75" i="82"/>
  <c r="K75" i="82"/>
  <c r="J75" i="82" s="1"/>
  <c r="D75" i="82"/>
  <c r="B75" i="82"/>
  <c r="M74" i="82"/>
  <c r="N74" i="82" s="1"/>
  <c r="K74" i="82"/>
  <c r="J74" i="82"/>
  <c r="D74" i="82"/>
  <c r="B74" i="82"/>
  <c r="N73" i="82"/>
  <c r="M73" i="82"/>
  <c r="K73" i="82"/>
  <c r="J73" i="82" s="1"/>
  <c r="D73" i="82"/>
  <c r="B73" i="82"/>
  <c r="M72" i="82"/>
  <c r="N72" i="82" s="1"/>
  <c r="K72" i="82"/>
  <c r="J72" i="82"/>
  <c r="F72" i="82"/>
  <c r="H78" i="82" s="1"/>
  <c r="D72" i="82"/>
  <c r="E72" i="82" s="1"/>
  <c r="B72" i="82"/>
  <c r="B70" i="82"/>
  <c r="D69" i="82"/>
  <c r="B69" i="82"/>
  <c r="B68" i="82"/>
  <c r="D67" i="82"/>
  <c r="B67" i="82"/>
  <c r="D65" i="82"/>
  <c r="B65" i="82"/>
  <c r="B63" i="82"/>
  <c r="D62" i="82"/>
  <c r="B62" i="82"/>
  <c r="B61" i="82"/>
  <c r="D58" i="82"/>
  <c r="B58" i="82"/>
  <c r="B57" i="82"/>
  <c r="D56" i="82"/>
  <c r="B56" i="82"/>
  <c r="D54" i="82"/>
  <c r="B54" i="82"/>
  <c r="B52" i="82"/>
  <c r="D51" i="82"/>
  <c r="B51" i="82"/>
  <c r="D50" i="82"/>
  <c r="B50" i="82"/>
  <c r="H42" i="82"/>
  <c r="H41" i="82"/>
  <c r="H40" i="82"/>
  <c r="H39" i="82"/>
  <c r="H38" i="82"/>
  <c r="H37" i="82"/>
  <c r="P29" i="82"/>
  <c r="P25" i="82"/>
  <c r="M24" i="82"/>
  <c r="J24" i="82"/>
  <c r="I24" i="82"/>
  <c r="C24" i="82" s="1"/>
  <c r="G24" i="82"/>
  <c r="E44" i="82" s="1"/>
  <c r="C44" i="82" s="1"/>
  <c r="E24" i="82"/>
  <c r="N32" i="82" s="1"/>
  <c r="O23" i="82"/>
  <c r="M23" i="82"/>
  <c r="I23" i="82"/>
  <c r="G23" i="82"/>
  <c r="P28" i="82" s="1"/>
  <c r="C23" i="82"/>
  <c r="C22" i="82"/>
  <c r="I18" i="82"/>
  <c r="G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M3" i="82"/>
  <c r="N2" i="82"/>
  <c r="I2" i="82"/>
  <c r="M12" i="82" s="1"/>
  <c r="G2" i="82"/>
  <c r="H116" i="82" s="1"/>
  <c r="M1" i="82"/>
  <c r="G62" i="43"/>
  <c r="G63" i="43"/>
  <c r="G64" i="43"/>
  <c r="G65" i="43"/>
  <c r="G66" i="43"/>
  <c r="G67" i="43"/>
  <c r="G68" i="43"/>
  <c r="G69" i="43"/>
  <c r="G61" i="43"/>
  <c r="G51" i="43"/>
  <c r="G52" i="43"/>
  <c r="G53" i="43"/>
  <c r="G54" i="43"/>
  <c r="G55" i="43"/>
  <c r="G56" i="43"/>
  <c r="G57" i="43"/>
  <c r="G58" i="43"/>
  <c r="G50" i="43"/>
  <c r="Q72" i="81"/>
  <c r="Q59" i="81"/>
  <c r="K59" i="81"/>
  <c r="P74" i="81" s="1"/>
  <c r="F59" i="81"/>
  <c r="Q58" i="81"/>
  <c r="Q51" i="81"/>
  <c r="J50" i="81"/>
  <c r="J51" i="81" s="1"/>
  <c r="M47" i="81"/>
  <c r="D46" i="81"/>
  <c r="F33" i="81"/>
  <c r="F61" i="81" s="1"/>
  <c r="F31" i="81"/>
  <c r="F23" i="81"/>
  <c r="D23" i="81" s="1"/>
  <c r="F21" i="81"/>
  <c r="F20" i="81"/>
  <c r="M19" i="81"/>
  <c r="F18" i="81"/>
  <c r="M17" i="81"/>
  <c r="F17" i="81"/>
  <c r="F15" i="81"/>
  <c r="G1" i="81"/>
  <c r="Y6" i="1"/>
  <c r="Y7" i="1"/>
  <c r="N6" i="1"/>
  <c r="N7" i="1" s="1"/>
  <c r="F20" i="6"/>
  <c r="K13" i="3"/>
  <c r="F19" i="6"/>
  <c r="D33" i="43" s="1"/>
  <c r="D7" i="80"/>
  <c r="D4" i="80"/>
  <c r="F27" i="83"/>
  <c r="E2" i="83"/>
  <c r="C36" i="83"/>
  <c r="C76" i="81"/>
  <c r="C18" i="84" l="1"/>
  <c r="D18" i="84" s="1"/>
  <c r="K120" i="84"/>
  <c r="D121" i="84"/>
  <c r="C74" i="84"/>
  <c r="C92" i="84"/>
  <c r="C94" i="84"/>
  <c r="H109" i="84"/>
  <c r="F45" i="83"/>
  <c r="C21" i="83"/>
  <c r="C29" i="83" s="1"/>
  <c r="D27" i="83" s="1"/>
  <c r="C40" i="83"/>
  <c r="M5" i="82"/>
  <c r="E17" i="82"/>
  <c r="S6" i="82"/>
  <c r="X7" i="82"/>
  <c r="I21" i="82"/>
  <c r="M21" i="82"/>
  <c r="H75" i="82"/>
  <c r="H93" i="82"/>
  <c r="H96" i="82"/>
  <c r="H101" i="82"/>
  <c r="S3" i="82"/>
  <c r="S5" i="82"/>
  <c r="D21" i="82"/>
  <c r="K21" i="82"/>
  <c r="O21" i="82"/>
  <c r="C27" i="82"/>
  <c r="H95" i="82"/>
  <c r="H99" i="82"/>
  <c r="E11" i="82"/>
  <c r="E10" i="82"/>
  <c r="E9" i="82"/>
  <c r="E8" i="82"/>
  <c r="M11" i="82"/>
  <c r="N12" i="82"/>
  <c r="N11" i="82"/>
  <c r="N10" i="82"/>
  <c r="M9" i="82"/>
  <c r="M8" i="82"/>
  <c r="N7" i="82"/>
  <c r="F50" i="82" s="1"/>
  <c r="N6" i="82"/>
  <c r="N5" i="82"/>
  <c r="M4" i="82"/>
  <c r="N3" i="82"/>
  <c r="M2" i="82"/>
  <c r="N1" i="82"/>
  <c r="N4" i="82"/>
  <c r="M6" i="82"/>
  <c r="M7" i="82"/>
  <c r="N8" i="82"/>
  <c r="N9" i="82"/>
  <c r="M10" i="82"/>
  <c r="Q32" i="82"/>
  <c r="O32" i="82"/>
  <c r="M32" i="82"/>
  <c r="P32" i="82"/>
  <c r="S2" i="82"/>
  <c r="S4" i="82"/>
  <c r="C6" i="82"/>
  <c r="C21" i="82"/>
  <c r="E21" i="82"/>
  <c r="H21" i="82"/>
  <c r="J21" i="82"/>
  <c r="L21" i="82"/>
  <c r="N21" i="82"/>
  <c r="P26" i="82"/>
  <c r="P27" i="82"/>
  <c r="F37" i="82"/>
  <c r="F38" i="82"/>
  <c r="F39" i="82"/>
  <c r="F40" i="82"/>
  <c r="F41" i="82"/>
  <c r="F42" i="82"/>
  <c r="H80" i="82"/>
  <c r="H79" i="82"/>
  <c r="H76" i="82"/>
  <c r="H74" i="82"/>
  <c r="H72" i="82"/>
  <c r="H73" i="82"/>
  <c r="H77" i="82"/>
  <c r="E83" i="82"/>
  <c r="B81" i="82" s="1"/>
  <c r="H86" i="82"/>
  <c r="F61" i="82"/>
  <c r="H90" i="82"/>
  <c r="H87" i="82"/>
  <c r="H85" i="82"/>
  <c r="H83" i="82"/>
  <c r="H84" i="82"/>
  <c r="H88" i="82"/>
  <c r="H94" i="82"/>
  <c r="H97" i="82"/>
  <c r="H98" i="82"/>
  <c r="Q71" i="81"/>
  <c r="D24" i="81"/>
  <c r="P61" i="81"/>
  <c r="D22"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L47" i="81"/>
  <c r="F16" i="81"/>
  <c r="M9" i="81"/>
  <c r="M28" i="81"/>
  <c r="D9" i="83"/>
  <c r="F38" i="81"/>
  <c r="F36" i="81"/>
  <c r="F37" i="81"/>
  <c r="F40" i="81"/>
  <c r="J15" i="81"/>
  <c r="M22" i="81"/>
  <c r="M23" i="81"/>
  <c r="F8" i="81"/>
  <c r="F42" i="81"/>
  <c r="M6" i="81"/>
  <c r="F6" i="81"/>
  <c r="F9" i="81"/>
  <c r="M8" i="81"/>
  <c r="L48" i="81"/>
  <c r="M26" i="81"/>
  <c r="M27" i="81"/>
  <c r="M24" i="81"/>
  <c r="F13" i="81"/>
  <c r="F26" i="81"/>
  <c r="D124" i="84" l="1"/>
  <c r="D125" i="84" s="1"/>
  <c r="H110" i="84"/>
  <c r="C9" i="83"/>
  <c r="C47" i="83"/>
  <c r="D45" i="83" s="1"/>
  <c r="H58" i="82"/>
  <c r="G58" i="82" s="1"/>
  <c r="H53" i="82"/>
  <c r="G53" i="82" s="1"/>
  <c r="H54" i="82"/>
  <c r="G54" i="82" s="1"/>
  <c r="H50" i="82"/>
  <c r="G50" i="82" s="1"/>
  <c r="H52" i="82"/>
  <c r="G52" i="82" s="1"/>
  <c r="H56" i="82"/>
  <c r="G56" i="82" s="1"/>
  <c r="H51" i="82"/>
  <c r="G51" i="82" s="1"/>
  <c r="M51" i="82" s="1"/>
  <c r="N51" i="82" s="1"/>
  <c r="H55" i="82"/>
  <c r="G55" i="82" s="1"/>
  <c r="H57" i="82"/>
  <c r="G57" i="82" s="1"/>
  <c r="M57" i="82" s="1"/>
  <c r="N57" i="82" s="1"/>
  <c r="G21" i="82"/>
  <c r="C20" i="82" s="1"/>
  <c r="D5" i="82" s="1"/>
  <c r="C5" i="82"/>
  <c r="M55" i="82"/>
  <c r="N55" i="82" s="1"/>
  <c r="K55" i="82"/>
  <c r="K51" i="82"/>
  <c r="J51" i="82" s="1"/>
  <c r="H69" i="82"/>
  <c r="G69" i="82" s="1"/>
  <c r="H68" i="82"/>
  <c r="G68" i="82" s="1"/>
  <c r="H67" i="82"/>
  <c r="G67" i="82" s="1"/>
  <c r="H66" i="82"/>
  <c r="G66" i="82" s="1"/>
  <c r="H63" i="82"/>
  <c r="G63" i="82" s="1"/>
  <c r="H62" i="82"/>
  <c r="G62" i="82" s="1"/>
  <c r="H61" i="82"/>
  <c r="G61" i="82" s="1"/>
  <c r="H65" i="82"/>
  <c r="G65" i="82" s="1"/>
  <c r="H64" i="82"/>
  <c r="G64" i="82" s="1"/>
  <c r="M56" i="82"/>
  <c r="N56" i="82" s="1"/>
  <c r="K56" i="82"/>
  <c r="J56" i="82" s="1"/>
  <c r="M52" i="82"/>
  <c r="N52" i="82" s="1"/>
  <c r="K52" i="82"/>
  <c r="M50" i="82"/>
  <c r="N50" i="82" s="1"/>
  <c r="K50" i="82"/>
  <c r="J50" i="82" s="1"/>
  <c r="L57" i="81"/>
  <c r="L56" i="81"/>
  <c r="J53" i="81"/>
  <c r="J57" i="81"/>
  <c r="J55" i="81" s="1"/>
  <c r="J58" i="81" s="1"/>
  <c r="Q50" i="81" s="1"/>
  <c r="I54" i="81"/>
  <c r="L60" i="81"/>
  <c r="F68" i="81"/>
  <c r="F51" i="81"/>
  <c r="F66" i="81"/>
  <c r="F64" i="81"/>
  <c r="N59" i="81"/>
  <c r="L59" i="81"/>
  <c r="L58" i="81"/>
  <c r="F65" i="81"/>
  <c r="C27" i="81"/>
  <c r="P28" i="79"/>
  <c r="P26" i="79"/>
  <c r="K57" i="82" l="1"/>
  <c r="J57" i="82" s="1"/>
  <c r="D57" i="82" s="1"/>
  <c r="M53" i="82"/>
  <c r="N53" i="82" s="1"/>
  <c r="K53" i="82"/>
  <c r="K54" i="82"/>
  <c r="J54" i="82" s="1"/>
  <c r="M54" i="82"/>
  <c r="N54" i="82" s="1"/>
  <c r="K58" i="82"/>
  <c r="J58" i="82" s="1"/>
  <c r="M58" i="82"/>
  <c r="N58" i="82" s="1"/>
  <c r="J52" i="82"/>
  <c r="D52" i="82"/>
  <c r="M64" i="82"/>
  <c r="N64" i="82" s="1"/>
  <c r="K64" i="82"/>
  <c r="K61" i="82"/>
  <c r="M61" i="82"/>
  <c r="N61" i="82" s="1"/>
  <c r="K63" i="82"/>
  <c r="M63" i="82"/>
  <c r="N63" i="82" s="1"/>
  <c r="K67" i="82"/>
  <c r="J67" i="82" s="1"/>
  <c r="M67" i="82"/>
  <c r="N67" i="82" s="1"/>
  <c r="K69" i="82"/>
  <c r="J69" i="82" s="1"/>
  <c r="M69" i="82"/>
  <c r="N69" i="82" s="1"/>
  <c r="M65" i="82"/>
  <c r="N65" i="82" s="1"/>
  <c r="K65" i="82"/>
  <c r="J65" i="82" s="1"/>
  <c r="K62" i="82"/>
  <c r="J62" i="82" s="1"/>
  <c r="M62" i="82"/>
  <c r="N62" i="82" s="1"/>
  <c r="K66" i="82"/>
  <c r="M66" i="82"/>
  <c r="N66" i="82" s="1"/>
  <c r="K68" i="82"/>
  <c r="J68" i="82" s="1"/>
  <c r="D68" i="82" s="1"/>
  <c r="M68" i="82"/>
  <c r="N68" i="82" s="1"/>
  <c r="J55" i="82"/>
  <c r="D55" i="82"/>
  <c r="Q66" i="81"/>
  <c r="Q57" i="81"/>
  <c r="Q61" i="81"/>
  <c r="Q74" i="81"/>
  <c r="F1" i="81"/>
  <c r="Q52" i="81"/>
  <c r="Q60" i="81"/>
  <c r="Q73" i="81"/>
  <c r="B10" i="74"/>
  <c r="J53" i="82" l="1"/>
  <c r="D53" i="82"/>
  <c r="E50" i="82" s="1"/>
  <c r="B48" i="82" s="1"/>
  <c r="J64" i="82"/>
  <c r="D64" i="82"/>
  <c r="D66" i="82"/>
  <c r="J66" i="82"/>
  <c r="D63" i="82"/>
  <c r="J63" i="82"/>
  <c r="D61" i="82"/>
  <c r="J61"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61" i="82" l="1"/>
  <c r="B59" i="82" s="1"/>
  <c r="C28" i="82" s="1"/>
  <c r="C7" i="78"/>
  <c r="C5" i="78"/>
  <c r="C6" i="78"/>
  <c r="F13" i="1"/>
  <c r="D13" i="1"/>
  <c r="D12" i="1"/>
  <c r="D11" i="1"/>
  <c r="D10" i="1"/>
  <c r="D9" i="1"/>
  <c r="D8" i="1"/>
  <c r="D7" i="1"/>
  <c r="D6" i="1"/>
  <c r="C42" i="82" l="1"/>
  <c r="C40" i="82"/>
  <c r="C38" i="82"/>
  <c r="C41" i="82"/>
  <c r="C39" i="82"/>
  <c r="C37" i="82"/>
  <c r="T15" i="82"/>
  <c r="V15" i="82" s="1"/>
  <c r="T13" i="82"/>
  <c r="V13" i="82" s="1"/>
  <c r="T8" i="82"/>
  <c r="V8" i="82" s="1"/>
  <c r="T5" i="82"/>
  <c r="V5" i="82" s="1"/>
  <c r="T12" i="82"/>
  <c r="V12" i="82" s="1"/>
  <c r="T2" i="82"/>
  <c r="V2" i="82" s="1"/>
  <c r="T7" i="82"/>
  <c r="V7" i="82" s="1"/>
  <c r="T16" i="82"/>
  <c r="V16" i="82" s="1"/>
  <c r="T14" i="82"/>
  <c r="V14" i="82" s="1"/>
  <c r="T9" i="82"/>
  <c r="V9" i="82" s="1"/>
  <c r="T6" i="82"/>
  <c r="V6" i="82" s="1"/>
  <c r="T3" i="82"/>
  <c r="V3" i="82" s="1"/>
  <c r="T11" i="82"/>
  <c r="V11" i="82" s="1"/>
  <c r="T4" i="82"/>
  <c r="V4" i="82" s="1"/>
  <c r="T10" i="82"/>
  <c r="V10" i="82" s="1"/>
  <c r="I2" i="43"/>
  <c r="M1" i="43" s="1"/>
  <c r="E37" i="82" l="1"/>
  <c r="G37" i="82"/>
  <c r="I37" i="82" s="1"/>
  <c r="G41" i="82"/>
  <c r="I41" i="82" s="1"/>
  <c r="E41" i="82"/>
  <c r="G40" i="82"/>
  <c r="I40" i="82" s="1"/>
  <c r="E40" i="82"/>
  <c r="C34" i="82"/>
  <c r="E34" i="82" s="1"/>
  <c r="G39" i="82"/>
  <c r="I39" i="82" s="1"/>
  <c r="E39" i="82"/>
  <c r="G38" i="82"/>
  <c r="I38" i="82" s="1"/>
  <c r="E38" i="82"/>
  <c r="G42" i="82"/>
  <c r="I42" i="82" s="1"/>
  <c r="E42"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M29" i="79"/>
  <c r="L29" i="79"/>
  <c r="I29" i="79"/>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C30" i="82" l="1"/>
  <c r="B2" i="82" s="1"/>
  <c r="C31" i="82"/>
  <c r="W5" i="79"/>
  <c r="T5" i="79"/>
  <c r="R7" i="79"/>
  <c r="R8" i="79"/>
  <c r="R6" i="79"/>
  <c r="P9" i="79"/>
  <c r="T7" i="79"/>
  <c r="W7" i="79" s="1"/>
  <c r="T8" i="79"/>
  <c r="W8" i="79" s="1"/>
  <c r="T6" i="79"/>
  <c r="W6" i="79" s="1"/>
  <c r="V9" i="79"/>
  <c r="V7" i="79"/>
  <c r="V6" i="79"/>
  <c r="V8" i="79"/>
  <c r="AD29" i="79"/>
  <c r="T28" i="79"/>
  <c r="W28" i="79" s="1"/>
  <c r="T27" i="79"/>
  <c r="W27" i="79" s="1"/>
  <c r="T26" i="79"/>
  <c r="W26" i="79" s="1"/>
  <c r="S30" i="79"/>
  <c r="U30" i="79"/>
  <c r="AD31" i="79"/>
  <c r="T31" i="79"/>
  <c r="W31" i="79" s="1"/>
  <c r="S32" i="79"/>
  <c r="U32" i="79"/>
  <c r="AD33" i="79"/>
  <c r="T33" i="79"/>
  <c r="W33" i="79" s="1"/>
  <c r="S34" i="79"/>
  <c r="U34" i="79"/>
  <c r="AD35" i="79"/>
  <c r="S9" i="79"/>
  <c r="S7" i="79"/>
  <c r="S6" i="79"/>
  <c r="S8" i="79"/>
  <c r="U9" i="79"/>
  <c r="U8" i="79"/>
  <c r="U6" i="79"/>
  <c r="U7" i="79"/>
  <c r="S28" i="79"/>
  <c r="S27"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B3" i="82" l="1"/>
  <c r="C6" i="83"/>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D35" i="71"/>
  <c r="C32" i="71"/>
  <c r="D31" i="71"/>
  <c r="V28" i="71"/>
  <c r="P66" i="71"/>
  <c r="O66" i="71"/>
  <c r="D66" i="71"/>
  <c r="O65" i="71"/>
  <c r="T32" i="71"/>
  <c r="D32"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B89" i="34"/>
  <c r="J27" i="34"/>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30" i="11" s="1"/>
  <c r="C48" i="11"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G85" i="33"/>
  <c r="AC23" i="33"/>
  <c r="AA19" i="33"/>
  <c r="H19" i="33"/>
  <c r="G81" i="33"/>
  <c r="H17" i="33"/>
  <c r="F17" i="33"/>
  <c r="W17" i="33"/>
  <c r="AC17" i="33"/>
  <c r="AA23" i="21"/>
  <c r="AB15" i="21"/>
  <c r="J23" i="21"/>
  <c r="F85" i="21"/>
  <c r="G85" i="21" s="1"/>
  <c r="H23" i="21"/>
  <c r="AB23" i="21" s="1"/>
  <c r="D6" i="52"/>
  <c r="AP7" i="1"/>
  <c r="AB45" i="21"/>
  <c r="U9" i="21"/>
  <c r="AA32" i="21"/>
  <c r="S32" i="21"/>
  <c r="W9" i="21"/>
  <c r="AC9" i="21"/>
  <c r="AB32" i="21"/>
  <c r="U32" i="21"/>
  <c r="U32" i="39"/>
  <c r="W32" i="39"/>
  <c r="AC19" i="37"/>
  <c r="W23" i="37"/>
  <c r="AC23" i="37"/>
  <c r="J11" i="37"/>
  <c r="AC11" i="37" s="1"/>
  <c r="H70" i="34"/>
  <c r="I70" i="34" s="1"/>
  <c r="J70" i="34" s="1"/>
  <c r="K70" i="34" s="1"/>
  <c r="L70" i="34" s="1"/>
  <c r="M70" i="34" s="1"/>
  <c r="J11" i="34"/>
  <c r="W11" i="34" s="1"/>
  <c r="W27" i="33"/>
  <c r="AC27" i="33"/>
  <c r="W25" i="33"/>
  <c r="AC25" i="33"/>
  <c r="AA23" i="33"/>
  <c r="S23" i="33"/>
  <c r="AB19" i="33"/>
  <c r="U19" i="33"/>
  <c r="AA17" i="33"/>
  <c r="S17" i="33"/>
  <c r="U17" i="33"/>
  <c r="AB17" i="33"/>
  <c r="AC23" i="21"/>
  <c r="W23" i="21"/>
  <c r="H109" i="9"/>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15"/>
  <c r="F13" i="67"/>
  <c r="F26" i="67"/>
  <c r="F43" i="67"/>
  <c r="B9" i="76"/>
  <c r="M24" i="67"/>
  <c r="F40" i="67"/>
  <c r="B10" i="76"/>
  <c r="F37" i="67"/>
  <c r="F9" i="67"/>
  <c r="M23" i="67"/>
  <c r="D7" i="73"/>
  <c r="F4" i="73"/>
  <c r="F42" i="15"/>
  <c r="E13" i="76"/>
  <c r="D3" i="73"/>
  <c r="D4" i="73"/>
  <c r="M22" i="15"/>
  <c r="E9" i="76"/>
  <c r="F6" i="67"/>
  <c r="E11" i="76"/>
  <c r="F36" i="15"/>
  <c r="F13" i="15"/>
  <c r="F5" i="73"/>
  <c r="F8" i="67"/>
  <c r="F9" i="15"/>
  <c r="F16" i="67"/>
  <c r="D5" i="73"/>
  <c r="M28" i="67"/>
  <c r="E7" i="76"/>
  <c r="B7" i="76"/>
  <c r="M8" i="15"/>
  <c r="M29" i="67"/>
  <c r="F43" i="15"/>
  <c r="J15" i="15"/>
  <c r="M8" i="67"/>
  <c r="B12" i="76"/>
  <c r="F3" i="73"/>
  <c r="M9" i="67"/>
  <c r="M23" i="15"/>
  <c r="M6" i="67"/>
  <c r="E10" i="76"/>
  <c r="F6" i="73"/>
  <c r="F38" i="67"/>
  <c r="B8" i="76"/>
  <c r="F37" i="15"/>
  <c r="F7" i="81"/>
  <c r="M26" i="15"/>
  <c r="F38" i="15"/>
  <c r="C76" i="15"/>
  <c r="L47" i="67"/>
  <c r="M29" i="81"/>
  <c r="B11" i="76"/>
  <c r="M9" i="15"/>
  <c r="L47" i="15"/>
  <c r="M26" i="67"/>
  <c r="F8" i="15"/>
  <c r="F40" i="15"/>
  <c r="F6" i="15"/>
  <c r="AO13" i="1"/>
  <c r="E8" i="76"/>
  <c r="J15" i="67"/>
  <c r="F36" i="67"/>
  <c r="E12" i="76"/>
  <c r="M22" i="67"/>
  <c r="E2" i="68"/>
  <c r="M6" i="15"/>
  <c r="F7" i="73"/>
  <c r="F16" i="15"/>
  <c r="B13" i="76"/>
  <c r="F7" i="67"/>
  <c r="D6" i="73"/>
  <c r="F26" i="15"/>
  <c r="F20" i="31"/>
  <c r="E2" i="69"/>
  <c r="L48" i="15"/>
  <c r="M24" i="15"/>
  <c r="F43" i="81"/>
  <c r="L48" i="67"/>
  <c r="C76" i="67"/>
  <c r="F42" i="67"/>
  <c r="F7" i="15"/>
  <c r="M28" i="15"/>
  <c r="C6" i="81" l="1"/>
  <c r="C33" i="81" s="1"/>
  <c r="M7" i="81"/>
  <c r="J6" i="81" s="1"/>
  <c r="J19" i="81" s="1"/>
  <c r="F50" i="81"/>
  <c r="C49" i="81" s="1"/>
  <c r="C61" i="81" s="1"/>
  <c r="F71" i="81"/>
  <c r="AP6" i="1"/>
  <c r="M7" i="1"/>
  <c r="O7" i="1"/>
  <c r="P7" i="1" s="1"/>
  <c r="D52" i="43"/>
  <c r="E50" i="43" s="1"/>
  <c r="B48" i="43" s="1"/>
  <c r="M20" i="15"/>
  <c r="F34" i="81"/>
  <c r="F62" i="81" s="1"/>
  <c r="M20" i="81"/>
  <c r="D68" i="9"/>
  <c r="M18" i="15"/>
  <c r="F30" i="69"/>
  <c r="F48" i="69" s="1"/>
  <c r="M18" i="67"/>
  <c r="F31" i="12"/>
  <c r="C28" i="67"/>
  <c r="F48" i="9"/>
  <c r="O52" i="9" s="1"/>
  <c r="F32" i="81"/>
  <c r="F28" i="81"/>
  <c r="C28" i="81" s="1"/>
  <c r="M18" i="81"/>
  <c r="F34" i="68"/>
  <c r="M59" i="81"/>
  <c r="H50" i="43"/>
  <c r="E19" i="71"/>
  <c r="E18" i="71" s="1"/>
  <c r="E17" i="71" s="1"/>
  <c r="E16" i="71" s="1"/>
  <c r="V20" i="71"/>
  <c r="U23" i="21"/>
  <c r="D17" i="71"/>
  <c r="C16" i="71"/>
  <c r="D19" i="53"/>
  <c r="B38" i="72" s="1"/>
  <c r="D16" i="53"/>
  <c r="B34" i="72" s="1"/>
  <c r="AB36" i="33"/>
  <c r="S37" i="21"/>
  <c r="AA13" i="21"/>
  <c r="S13" i="21"/>
  <c r="AZ521" i="3"/>
  <c r="AZ551" i="3"/>
  <c r="BA5" i="3"/>
  <c r="G28" i="6"/>
  <c r="F29" i="6"/>
  <c r="E29" i="6" s="1"/>
  <c r="K15" i="1" s="1"/>
  <c r="AA41" i="34"/>
  <c r="AZ585" i="3"/>
  <c r="F12" i="21"/>
  <c r="J12" i="21"/>
  <c r="B94" i="43"/>
  <c r="B73" i="43"/>
  <c r="B99" i="43"/>
  <c r="B76" i="43"/>
  <c r="AB33" i="33"/>
  <c r="U33" i="33"/>
  <c r="J12" i="34"/>
  <c r="F12" i="34"/>
  <c r="H12" i="34"/>
  <c r="H12" i="35"/>
  <c r="J12" i="35"/>
  <c r="AC11" i="35"/>
  <c r="H12" i="21"/>
  <c r="J9" i="34"/>
  <c r="F9" i="34"/>
  <c r="AA9" i="34" s="1"/>
  <c r="H9" i="34"/>
  <c r="AC28" i="35"/>
  <c r="W28" i="35"/>
  <c r="J34" i="35"/>
  <c r="H34" i="35"/>
  <c r="F34" i="35"/>
  <c r="AC28" i="36"/>
  <c r="W28" i="36"/>
  <c r="AB30" i="37"/>
  <c r="U30" i="37"/>
  <c r="AC8" i="40"/>
  <c r="W8" i="40"/>
  <c r="AB34" i="40"/>
  <c r="U34" i="40"/>
  <c r="AB40" i="40"/>
  <c r="U40" i="40"/>
  <c r="AZ399" i="3"/>
  <c r="AZ404" i="3"/>
  <c r="AZ414" i="3"/>
  <c r="AZ421" i="3"/>
  <c r="AZ423" i="3"/>
  <c r="AZ430" i="3"/>
  <c r="AZ440" i="3"/>
  <c r="AZ449" i="3"/>
  <c r="AZ453" i="3"/>
  <c r="AZ455" i="3"/>
  <c r="AZ460" i="3"/>
  <c r="AZ471" i="3"/>
  <c r="AZ492" i="3"/>
  <c r="AZ208" i="3"/>
  <c r="AZ211" i="3"/>
  <c r="AZ219" i="3"/>
  <c r="AZ236" i="3"/>
  <c r="B101" i="43"/>
  <c r="B79" i="43"/>
  <c r="B97" i="43"/>
  <c r="B75" i="43"/>
  <c r="H36" i="35"/>
  <c r="J36" i="35"/>
  <c r="J23" i="36"/>
  <c r="H23" i="36"/>
  <c r="F23" i="36"/>
  <c r="W31" i="35"/>
  <c r="AC31" i="35"/>
  <c r="G551" i="3"/>
  <c r="G5" i="3" s="1"/>
  <c r="B3" i="3" s="1"/>
  <c r="BL548" i="3"/>
  <c r="AZ548" i="3" s="1"/>
  <c r="AZ409" i="3"/>
  <c r="AZ416" i="3"/>
  <c r="AZ425" i="3"/>
  <c r="AZ432" i="3"/>
  <c r="AZ464" i="3"/>
  <c r="AZ467" i="3"/>
  <c r="AZ474" i="3"/>
  <c r="AZ480" i="3"/>
  <c r="AZ482" i="3"/>
  <c r="AZ486" i="3"/>
  <c r="AZ230" i="3"/>
  <c r="AZ246" i="3"/>
  <c r="AZ252" i="3"/>
  <c r="AZ272" i="3"/>
  <c r="AZ276" i="3"/>
  <c r="AZ289" i="3"/>
  <c r="AZ292" i="3"/>
  <c r="AZ294" i="3"/>
  <c r="AZ300" i="3"/>
  <c r="AZ118" i="3"/>
  <c r="AZ121" i="3"/>
  <c r="AZ134" i="3"/>
  <c r="AZ137" i="3"/>
  <c r="AZ145" i="3"/>
  <c r="AZ161" i="3"/>
  <c r="AZ177" i="3"/>
  <c r="AZ193" i="3"/>
  <c r="AZ34" i="3"/>
  <c r="AZ38" i="3"/>
  <c r="AZ44" i="3"/>
  <c r="AZ48" i="3"/>
  <c r="AZ60" i="3"/>
  <c r="AZ64" i="3"/>
  <c r="AZ78" i="3"/>
  <c r="AZ91" i="3"/>
  <c r="AZ98" i="3"/>
  <c r="AZ104" i="3"/>
  <c r="AZ108" i="3"/>
  <c r="K13" i="1"/>
  <c r="M13" i="1" s="1"/>
  <c r="O13" i="1" s="1"/>
  <c r="P13" i="1" s="1"/>
  <c r="AB21" i="21"/>
  <c r="AB21" i="33"/>
  <c r="T44" i="71"/>
  <c r="D44" i="71"/>
  <c r="T36" i="71"/>
  <c r="D36" i="71"/>
  <c r="C27" i="71"/>
  <c r="T28" i="71"/>
  <c r="D28" i="71"/>
  <c r="U28" i="71" s="1"/>
  <c r="T40" i="71"/>
  <c r="D40" i="71"/>
  <c r="S21" i="21"/>
  <c r="U18" i="36"/>
  <c r="S25" i="40"/>
  <c r="AA25" i="71"/>
  <c r="AB27" i="71"/>
  <c r="S28" i="71"/>
  <c r="AA24" i="71"/>
  <c r="X27" i="71"/>
  <c r="AB37" i="71"/>
  <c r="AA36" i="71"/>
  <c r="AB33" i="71"/>
  <c r="Y33" i="71"/>
  <c r="Z33" i="71" s="1"/>
  <c r="X32" i="71"/>
  <c r="X37"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3" i="71"/>
  <c r="AA22" i="71"/>
  <c r="AB21" i="71"/>
  <c r="Y18" i="71"/>
  <c r="Z18" i="71" s="1"/>
  <c r="X18" i="71"/>
  <c r="AA18" i="71"/>
  <c r="X14" i="71"/>
  <c r="AA12" i="71"/>
  <c r="X24" i="71"/>
  <c r="Y24" i="71"/>
  <c r="Z24" i="71" s="1"/>
  <c r="AB15" i="71"/>
  <c r="AB17" i="71"/>
  <c r="AB13" i="71"/>
  <c r="AB14" i="71"/>
  <c r="Y12" i="71"/>
  <c r="Z12" i="71" s="1"/>
  <c r="Y13" i="71"/>
  <c r="Z13" i="71" s="1"/>
  <c r="X12" i="71"/>
  <c r="Y23" i="71"/>
  <c r="Z23" i="71" s="1"/>
  <c r="X15" i="71"/>
  <c r="AA15" i="71"/>
  <c r="AB12" i="71"/>
  <c r="AB11" i="71"/>
  <c r="Y11" i="71"/>
  <c r="Z11" i="71" s="1"/>
  <c r="X11"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G30" i="6"/>
  <c r="G31" i="6" s="1"/>
  <c r="E28" i="6"/>
  <c r="L19" i="6"/>
  <c r="L27" i="6" s="1"/>
  <c r="M6" i="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81"/>
  <c r="D9" i="68"/>
  <c r="G1" i="73"/>
  <c r="C36" i="68"/>
  <c r="C16" i="15"/>
  <c r="C16" i="67"/>
  <c r="J18" i="81" l="1"/>
  <c r="O6" i="1"/>
  <c r="F60" i="81"/>
  <c r="C32" i="81"/>
  <c r="F11" i="81"/>
  <c r="M11" i="81"/>
  <c r="J10" i="81" s="1"/>
  <c r="J5" i="81" s="1"/>
  <c r="H16" i="1"/>
  <c r="K16" i="1"/>
  <c r="G16" i="1"/>
  <c r="F10" i="39" s="1"/>
  <c r="AA10" i="39" s="1"/>
  <c r="P6" i="1"/>
  <c r="C13" i="12" s="1"/>
  <c r="Q16" i="1"/>
  <c r="F27" i="69" s="1"/>
  <c r="F45" i="69"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AC6" i="3" s="1"/>
  <c r="E495" i="3"/>
  <c r="E353" i="3"/>
  <c r="E124" i="3"/>
  <c r="E280" i="3"/>
  <c r="E399" i="3"/>
  <c r="AA6" i="3"/>
  <c r="E347" i="3"/>
  <c r="AZ5" i="3"/>
  <c r="AY6" i="3" s="1"/>
  <c r="F66" i="71"/>
  <c r="Q67" i="71"/>
  <c r="C26" i="71"/>
  <c r="D26" i="71" s="1"/>
  <c r="D27" i="71"/>
  <c r="AA23" i="36"/>
  <c r="S23" i="36"/>
  <c r="AC23" i="36"/>
  <c r="W23" i="36"/>
  <c r="AB36" i="35"/>
  <c r="U36" i="35"/>
  <c r="AA34" i="35"/>
  <c r="S34" i="35"/>
  <c r="AC34" i="35"/>
  <c r="W34" i="35"/>
  <c r="AB12" i="21"/>
  <c r="U12" i="21"/>
  <c r="W12" i="35"/>
  <c r="AC12" i="35"/>
  <c r="AB12" i="34"/>
  <c r="U12" i="34"/>
  <c r="W12" i="34"/>
  <c r="AC12" i="34"/>
  <c r="S12" i="21"/>
  <c r="AA12" i="21"/>
  <c r="C15" i="71"/>
  <c r="T16" i="71"/>
  <c r="B15" i="71"/>
  <c r="B14" i="71" s="1"/>
  <c r="B13" i="71" s="1"/>
  <c r="B12" i="71" s="1"/>
  <c r="S16" i="71"/>
  <c r="AB23" i="36"/>
  <c r="U23" i="36"/>
  <c r="W36" i="35"/>
  <c r="AC36" i="35"/>
  <c r="AB34" i="35"/>
  <c r="U34" i="35"/>
  <c r="U9" i="34"/>
  <c r="AB9" i="34"/>
  <c r="AC9" i="34"/>
  <c r="W9" i="34"/>
  <c r="BL5" i="3"/>
  <c r="U12" i="35"/>
  <c r="AB12" i="35"/>
  <c r="S12" i="34"/>
  <c r="AA12" i="34"/>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E58" i="40"/>
  <c r="E62" i="39"/>
  <c r="M14" i="1"/>
  <c r="D5" i="43"/>
  <c r="H10" i="39"/>
  <c r="U10" i="39" s="1"/>
  <c r="J10" i="39"/>
  <c r="W10" i="39" s="1"/>
  <c r="C7" i="43"/>
  <c r="C5" i="43" s="1"/>
  <c r="D10" i="52"/>
  <c r="D125" i="9"/>
  <c r="D11" i="52" s="1"/>
  <c r="B7" i="74"/>
  <c r="C7" i="74" s="1"/>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AE6" i="1"/>
  <c r="F41" i="81"/>
  <c r="F41" i="67"/>
  <c r="E3" i="6" l="1"/>
  <c r="H10" i="40"/>
  <c r="AB10" i="40" s="1"/>
  <c r="F10" i="40"/>
  <c r="S10" i="40" s="1"/>
  <c r="J10" i="40"/>
  <c r="AC10" i="40" s="1"/>
  <c r="L36" i="82"/>
  <c r="P36" i="82" s="1"/>
  <c r="F22" i="83"/>
  <c r="L37" i="82"/>
  <c r="F69" i="81"/>
  <c r="J26" i="81"/>
  <c r="J29" i="81" s="1"/>
  <c r="J24" i="81"/>
  <c r="L36" i="43"/>
  <c r="L37" i="43" s="1"/>
  <c r="F24" i="81"/>
  <c r="C53" i="81"/>
  <c r="C48" i="81" s="1"/>
  <c r="C10" i="81"/>
  <c r="C5" i="81" s="1"/>
  <c r="H6" i="3"/>
  <c r="E6" i="3" s="1"/>
  <c r="F27" i="11"/>
  <c r="C29" i="11" s="1"/>
  <c r="D27" i="11" s="1"/>
  <c r="F28" i="12"/>
  <c r="C29" i="12" s="1"/>
  <c r="D28" i="12" s="1"/>
  <c r="E65" i="39"/>
  <c r="B11" i="71"/>
  <c r="B10" i="71" s="1"/>
  <c r="B9" i="71" s="1"/>
  <c r="B8" i="71" s="1"/>
  <c r="B7" i="71" s="1"/>
  <c r="B6" i="71" s="1"/>
  <c r="B5" i="71" s="1"/>
  <c r="S12" i="71"/>
  <c r="D15" i="71"/>
  <c r="C14" i="71"/>
  <c r="Q66" i="71"/>
  <c r="Q65" i="71"/>
  <c r="E11" i="71"/>
  <c r="E10" i="71" s="1"/>
  <c r="E9" i="71" s="1"/>
  <c r="E8" i="71" s="1"/>
  <c r="E7" i="71" s="1"/>
  <c r="E6" i="71" s="1"/>
  <c r="E5" i="71" s="1"/>
  <c r="V12" i="7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27" i="68"/>
  <c r="F41" i="15"/>
  <c r="B1" i="74" l="1"/>
  <c r="B14" i="74"/>
  <c r="Q36" i="82"/>
  <c r="N36" i="82"/>
  <c r="M36" i="82"/>
  <c r="O36" i="82"/>
  <c r="F41" i="83"/>
  <c r="C24" i="83"/>
  <c r="C26" i="83"/>
  <c r="D22" i="83" s="1"/>
  <c r="C44" i="83"/>
  <c r="D41" i="83" s="1"/>
  <c r="F45" i="68"/>
  <c r="P37" i="82"/>
  <c r="N37" i="82"/>
  <c r="Q37" i="82"/>
  <c r="M37" i="82"/>
  <c r="O37" i="82"/>
  <c r="Q36" i="43"/>
  <c r="M36" i="43"/>
  <c r="P36" i="43"/>
  <c r="O36" i="43"/>
  <c r="N36" i="43"/>
  <c r="C38" i="81"/>
  <c r="C24" i="81"/>
  <c r="C66" i="81"/>
  <c r="C60" i="81"/>
  <c r="C47" i="68"/>
  <c r="D45" i="68" s="1"/>
  <c r="C29" i="68"/>
  <c r="D27" i="68"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F50" i="83"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83"/>
  <c r="C17" i="15"/>
  <c r="C17" i="67"/>
  <c r="C17" i="81"/>
  <c r="D10" i="68"/>
  <c r="C14" i="67"/>
  <c r="C10" i="83" l="1"/>
  <c r="C8" i="83" s="1"/>
  <c r="D19" i="83"/>
  <c r="D37" i="83" s="1"/>
  <c r="C37" i="83" s="1"/>
  <c r="M19" i="9"/>
  <c r="C118" i="9" s="1"/>
  <c r="E7" i="70"/>
  <c r="M19" i="84"/>
  <c r="C118" i="84" s="1"/>
  <c r="C15" i="74" s="1"/>
  <c r="S20" i="6"/>
  <c r="L18" i="84"/>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83"/>
  <c r="C14" i="81"/>
  <c r="C34" i="68"/>
  <c r="C14" i="15"/>
  <c r="C38" i="83" l="1"/>
  <c r="C33" i="83" s="1"/>
  <c r="C35" i="83"/>
  <c r="B2" i="74"/>
  <c r="C14" i="74"/>
  <c r="C18" i="81"/>
  <c r="C15" i="81"/>
  <c r="L19" i="84"/>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42" i="83" l="1"/>
  <c r="C39" i="83"/>
  <c r="D8" i="74"/>
  <c r="D7" i="74"/>
  <c r="C19" i="81"/>
  <c r="C20" i="81" s="1"/>
  <c r="C26" i="81" s="1"/>
  <c r="G3" i="82"/>
  <c r="G3" i="43"/>
  <c r="C46" i="83"/>
  <c r="C45" i="83" s="1"/>
  <c r="C43" i="83"/>
  <c r="C41" i="83" s="1"/>
  <c r="C7" i="83"/>
  <c r="C5"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49" i="83" l="1"/>
  <c r="C51" i="83" s="1"/>
  <c r="B116" i="82"/>
  <c r="J26" i="82"/>
  <c r="E26" i="82"/>
  <c r="G26" i="82"/>
  <c r="Z7" i="82"/>
  <c r="H26" i="82"/>
  <c r="F26" i="82"/>
  <c r="H26" i="43"/>
  <c r="F26" i="43"/>
  <c r="N370" i="46"/>
  <c r="N94" i="46"/>
  <c r="J26" i="43"/>
  <c r="B116" i="43"/>
  <c r="G26" i="43"/>
  <c r="E26" i="43"/>
  <c r="Z7" i="43"/>
  <c r="C23" i="81"/>
  <c r="C29" i="81" s="1"/>
  <c r="C23" i="83"/>
  <c r="C20" i="83"/>
  <c r="C25" i="8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81"/>
  <c r="M21" i="67"/>
  <c r="F35" i="81"/>
  <c r="M21" i="15"/>
  <c r="F35" i="15"/>
  <c r="D26" i="82" l="1"/>
  <c r="C25" i="82" s="1"/>
  <c r="C33" i="82" s="1"/>
  <c r="E33" i="82" s="1"/>
  <c r="D26" i="43"/>
  <c r="C25" i="43" s="1"/>
  <c r="C33" i="43" s="1"/>
  <c r="C57" i="81"/>
  <c r="C64" i="81" s="1"/>
  <c r="J14" i="81"/>
  <c r="Q49" i="81"/>
  <c r="C36" i="81"/>
  <c r="C13" i="81"/>
  <c r="J59" i="81"/>
  <c r="J60" i="8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I118" i="82"/>
  <c r="J118" i="82" s="1"/>
  <c r="K118" i="82" s="1"/>
  <c r="L118" i="82" s="1"/>
  <c r="M118" i="82" s="1"/>
  <c r="I120" i="82"/>
  <c r="J120" i="82" s="1"/>
  <c r="K120" i="82" s="1"/>
  <c r="L120" i="82" s="1"/>
  <c r="M120" i="82" s="1"/>
  <c r="I122" i="82"/>
  <c r="J122" i="82" s="1"/>
  <c r="K122" i="82" s="1"/>
  <c r="L122" i="82" s="1"/>
  <c r="M122" i="82" s="1"/>
  <c r="B122" i="82"/>
  <c r="C122" i="82" s="1"/>
  <c r="B121" i="82"/>
  <c r="C121" i="82" s="1"/>
  <c r="B120" i="82"/>
  <c r="C120" i="82" s="1"/>
  <c r="B119" i="82"/>
  <c r="C119" i="82" s="1"/>
  <c r="B118" i="82"/>
  <c r="I119" i="82"/>
  <c r="J119" i="82" s="1"/>
  <c r="K119" i="82" s="1"/>
  <c r="L119" i="82" s="1"/>
  <c r="M119" i="82" s="1"/>
  <c r="I121" i="82"/>
  <c r="J121" i="82" s="1"/>
  <c r="K121" i="82" s="1"/>
  <c r="L121" i="82" s="1"/>
  <c r="M121" i="82" s="1"/>
  <c r="C22" i="83"/>
  <c r="C28" i="83"/>
  <c r="C27" i="83" s="1"/>
  <c r="F63" i="81"/>
  <c r="C62" i="81" s="1"/>
  <c r="C59" i="81" s="1"/>
  <c r="C34" i="81"/>
  <c r="C31" i="81" s="1"/>
  <c r="J20" i="81"/>
  <c r="J17"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46" i="81" l="1"/>
  <c r="Q48" i="81"/>
  <c r="J13" i="81"/>
  <c r="J23" i="81" s="1"/>
  <c r="J22" i="81"/>
  <c r="C118" i="82"/>
  <c r="D116" i="82" s="1"/>
  <c r="C118" i="43"/>
  <c r="D116" i="43" s="1"/>
  <c r="C34" i="43"/>
  <c r="E34" i="43" s="1"/>
  <c r="C31" i="43" s="1"/>
  <c r="E33" i="43"/>
  <c r="C30" i="43" s="1"/>
  <c r="Q70" i="81"/>
  <c r="C56" i="81"/>
  <c r="C65" i="81" s="1"/>
  <c r="C58" i="81" s="1"/>
  <c r="C67" i="81" s="1"/>
  <c r="C68" i="81" s="1"/>
  <c r="C71" i="81" s="1"/>
  <c r="C75" i="81"/>
  <c r="C37" i="81"/>
  <c r="C30" i="81" s="1"/>
  <c r="C39" i="81" s="1"/>
  <c r="C31" i="83"/>
  <c r="C52" i="83" s="1"/>
  <c r="C57" i="83" s="1"/>
  <c r="C56"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E6" i="76"/>
  <c r="D2" i="21"/>
  <c r="J16" i="81" l="1"/>
  <c r="J25" i="81" s="1"/>
  <c r="E2" i="76"/>
  <c r="Q69" i="81"/>
  <c r="Q68" i="81" s="1"/>
  <c r="C80" i="81"/>
  <c r="C79" i="81" s="1"/>
  <c r="C40" i="81"/>
  <c r="C46" i="81" s="1"/>
  <c r="B2" i="43"/>
  <c r="B2" i="83"/>
  <c r="Q67" i="81"/>
  <c r="Q47" i="81"/>
  <c r="Q53" i="81"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84"/>
  <c r="D2" i="33"/>
  <c r="B6" i="76"/>
  <c r="L51" i="67"/>
  <c r="B3" i="83"/>
  <c r="C43" i="81" l="1"/>
  <c r="Q65" i="81"/>
  <c r="Q75" i="81" s="1"/>
  <c r="B2" i="76"/>
  <c r="B3" i="76" s="1"/>
  <c r="C83" i="81"/>
  <c r="C82" i="81" s="1"/>
  <c r="Q56" i="81"/>
  <c r="Q62" i="81" s="1"/>
  <c r="B2" i="81"/>
  <c r="B3" i="81" s="1"/>
  <c r="B3" i="43"/>
  <c r="C6" i="68"/>
  <c r="C102" i="84"/>
  <c r="C21" i="84"/>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C20" i="84"/>
  <c r="D19" i="84"/>
  <c r="D2" i="37"/>
  <c r="L51" i="15"/>
  <c r="D20" i="84"/>
  <c r="C103" i="84" l="1"/>
  <c r="D21" i="84"/>
  <c r="D22" i="84"/>
  <c r="D102" i="84"/>
  <c r="G19" i="84"/>
  <c r="G21" i="84" s="1"/>
  <c r="C7" i="68"/>
  <c r="C5" i="68" s="1"/>
  <c r="D103" i="84"/>
  <c r="G20" i="84"/>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11" i="1"/>
  <c r="AO9" i="1"/>
  <c r="C32" i="84" l="1"/>
  <c r="C23" i="68"/>
  <c r="C20" i="68"/>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C42" i="40"/>
  <c r="C43" i="40"/>
  <c r="E47" i="40"/>
  <c r="F47" i="40" s="1"/>
  <c r="E46" i="40"/>
  <c r="F46" i="40" s="1"/>
  <c r="I47" i="40"/>
  <c r="J47" i="40" s="1"/>
  <c r="C19" i="9"/>
  <c r="B3" i="68"/>
  <c r="C57" i="68" l="1"/>
  <c r="C102" i="9"/>
  <c r="C21" i="9"/>
  <c r="D22" i="9"/>
  <c r="G19" i="9"/>
  <c r="G21" i="9" s="1"/>
  <c r="B58" i="40"/>
  <c r="F58" i="40" s="1"/>
  <c r="B54" i="40"/>
  <c r="F54" i="40" s="1"/>
  <c r="B53" i="40"/>
  <c r="F53" i="40" s="1"/>
  <c r="B59" i="40"/>
  <c r="F59" i="40" s="1"/>
  <c r="B52" i="40"/>
  <c r="F52" i="40" s="1"/>
  <c r="B56" i="40"/>
  <c r="F56" i="40" s="1"/>
  <c r="B60" i="40"/>
  <c r="F60" i="40" s="1"/>
  <c r="B57" i="40"/>
  <c r="F57" i="40" s="1"/>
  <c r="B51" i="40"/>
  <c r="F51" i="40" s="1"/>
  <c r="F61" i="40"/>
  <c r="B2" i="40" s="1"/>
  <c r="B3" i="40" s="1"/>
  <c r="D35" i="84"/>
  <c r="D35" i="9"/>
  <c r="C20" i="9"/>
  <c r="C35" i="84" l="1"/>
  <c r="C34" i="84" s="1"/>
  <c r="C56" i="68"/>
  <c r="C103" i="9"/>
  <c r="G20" i="9"/>
  <c r="C32" i="9" s="1"/>
  <c r="C35" i="9" s="1"/>
  <c r="C34" i="9" s="1"/>
  <c r="D34" i="9"/>
  <c r="D34" i="84"/>
  <c r="F118" i="9" l="1"/>
  <c r="F4" i="52" s="1"/>
  <c r="B51" i="72" s="1"/>
  <c r="D118" i="9"/>
  <c r="D4" i="52" s="1"/>
  <c r="B47" i="72" s="1"/>
  <c r="H118" i="9"/>
  <c r="H4" i="52" l="1"/>
  <c r="D14" i="74"/>
  <c r="G14" i="74" s="1"/>
  <c r="H101" i="9"/>
  <c r="I118" i="9"/>
  <c r="F119" i="9"/>
  <c r="F5" i="52" s="1"/>
  <c r="B53" i="72" s="1"/>
  <c r="G118" i="9"/>
  <c r="G4" i="52" s="1"/>
  <c r="B52" i="72" s="1"/>
  <c r="H119" i="9"/>
  <c r="H5" i="52" s="1"/>
  <c r="C104" i="9"/>
  <c r="D119" i="9"/>
  <c r="D5" i="52" s="1"/>
  <c r="B49" i="72" s="1"/>
  <c r="E14" i="74" l="1"/>
  <c r="D30" i="74" s="1"/>
  <c r="E30" i="74" s="1"/>
  <c r="F14" i="74"/>
  <c r="C105" i="9"/>
  <c r="H102" i="9"/>
  <c r="E118" i="9"/>
  <c r="E4" i="52" s="1"/>
  <c r="B48" i="72" s="1"/>
  <c r="I4" i="52"/>
  <c r="D5" i="53"/>
  <c r="M48" i="9"/>
  <c r="H107" i="9"/>
  <c r="D45" i="9"/>
  <c r="D52" i="9" l="1"/>
  <c r="C72" i="9"/>
  <c r="D53" i="9"/>
  <c r="C78" i="9"/>
  <c r="C73" i="9" s="1"/>
  <c r="C93" i="9"/>
  <c r="C86" i="9" s="1"/>
  <c r="C64" i="9"/>
  <c r="C63" i="9" s="1"/>
  <c r="C67" i="9" s="1"/>
  <c r="D55" i="9"/>
  <c r="M53" i="9" s="1"/>
  <c r="C85" i="9"/>
  <c r="D7" i="53"/>
  <c r="B21" i="72" s="1"/>
  <c r="H108" i="9"/>
  <c r="D13" i="53"/>
  <c r="M49" i="9"/>
  <c r="D122" i="9"/>
  <c r="B20" i="72"/>
  <c r="D6" i="53"/>
  <c r="B22" i="72" s="1"/>
  <c r="C95" i="9" l="1"/>
  <c r="C96" i="9" s="1"/>
  <c r="E96" i="9" s="1"/>
  <c r="E97" i="9" s="1"/>
  <c r="D8" i="52"/>
  <c r="D123" i="9"/>
  <c r="D9" i="52" s="1"/>
  <c r="B30" i="72"/>
  <c r="D14" i="53"/>
  <c r="B32" i="72" s="1"/>
  <c r="D59" i="9"/>
  <c r="M55" i="9" s="1"/>
  <c r="C68" i="9"/>
  <c r="D54" i="9" s="1"/>
  <c r="C79" i="9"/>
  <c r="L68" i="9"/>
  <c r="M68" i="9" s="1"/>
  <c r="L64" i="9"/>
  <c r="M64" i="9" s="1"/>
  <c r="L67" i="9"/>
  <c r="M67" i="9" s="1"/>
  <c r="L65" i="9"/>
  <c r="M65" i="9" s="1"/>
  <c r="L66" i="9"/>
  <c r="M66" i="9" s="1"/>
  <c r="L63" i="9"/>
  <c r="M63" i="9" s="1"/>
  <c r="D15" i="53"/>
  <c r="B31" i="72" s="1"/>
  <c r="M69" i="9" l="1"/>
  <c r="N69" i="9" s="1"/>
  <c r="C80" i="9"/>
  <c r="E80" i="9" s="1"/>
  <c r="E81" i="9" s="1"/>
  <c r="C97" i="9"/>
  <c r="D58" i="9" s="1"/>
  <c r="D56" i="9" s="1"/>
  <c r="M54" i="9" s="1"/>
  <c r="N57" i="9" s="1"/>
  <c r="N58" i="9" l="1"/>
  <c r="P57" i="9"/>
  <c r="N59" i="9"/>
  <c r="C81" i="9"/>
  <c r="N61" i="9" l="1"/>
  <c r="N60" i="9"/>
  <c r="F118" i="84"/>
  <c r="F119" i="84" s="1"/>
  <c r="D118" i="84"/>
  <c r="D119" i="84" s="1"/>
  <c r="H118" i="84"/>
  <c r="C104" i="84" l="1"/>
  <c r="D15" i="74"/>
  <c r="G15" i="74" s="1"/>
  <c r="B6" i="74" s="1"/>
  <c r="H119" i="84"/>
  <c r="H101" i="84"/>
  <c r="I118" i="84"/>
  <c r="G118" i="84"/>
  <c r="D6" i="74" l="1"/>
  <c r="C6" i="74"/>
  <c r="E15" i="74"/>
  <c r="D31" i="74" s="1"/>
  <c r="E31" i="74" s="1"/>
  <c r="E32" i="74" s="1"/>
  <c r="F15" i="74"/>
  <c r="B5" i="74"/>
  <c r="H102" i="84"/>
  <c r="C105" i="84"/>
  <c r="E118" i="84"/>
  <c r="M48" i="84"/>
  <c r="D45" i="84"/>
  <c r="H107" i="84"/>
  <c r="D5" i="74" l="1"/>
  <c r="C5" i="74"/>
  <c r="D122" i="84"/>
  <c r="D123" i="84" s="1"/>
  <c r="M49" i="84"/>
  <c r="H108" i="84"/>
  <c r="D52" i="84"/>
  <c r="D55" i="84"/>
  <c r="M53" i="84" s="1"/>
  <c r="C64" i="84"/>
  <c r="C63" i="84" s="1"/>
  <c r="C67" i="84" s="1"/>
  <c r="C85" i="84"/>
  <c r="D53" i="84"/>
  <c r="C93" i="84"/>
  <c r="C86" i="84" s="1"/>
  <c r="C78" i="84"/>
  <c r="C73" i="84" s="1"/>
  <c r="C72" i="84"/>
  <c r="C79" i="84" l="1"/>
  <c r="C95" i="84"/>
  <c r="D59" i="84"/>
  <c r="M55" i="84" s="1"/>
  <c r="C68" i="84"/>
  <c r="D54" i="84" s="1"/>
  <c r="L65" i="84"/>
  <c r="M65" i="84" s="1"/>
  <c r="L66" i="84"/>
  <c r="M66" i="84" s="1"/>
  <c r="L64" i="84"/>
  <c r="M64" i="84" s="1"/>
  <c r="L67" i="84"/>
  <c r="M67" i="84" s="1"/>
  <c r="L68" i="84"/>
  <c r="M68" i="84" s="1"/>
  <c r="L63" i="84"/>
  <c r="M63" i="84" s="1"/>
  <c r="C80" i="84"/>
  <c r="E80" i="84" s="1"/>
  <c r="E81" i="84" s="1"/>
  <c r="M69" i="84" l="1"/>
  <c r="N69" i="84" s="1"/>
  <c r="C81" i="84"/>
  <c r="C96" i="84"/>
  <c r="E96" i="84" s="1"/>
  <c r="E97" i="84" s="1"/>
  <c r="C97" i="84" l="1"/>
  <c r="D58" i="84" s="1"/>
  <c r="D56" i="84" s="1"/>
  <c r="M54" i="84" s="1"/>
  <c r="N57" i="84" s="1"/>
  <c r="P57" i="84" s="1"/>
  <c r="N58" i="84" l="1"/>
  <c r="N59" i="84"/>
  <c r="N61" i="84" s="1"/>
  <c r="N60"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<sst xmlns="http://schemas.openxmlformats.org/spreadsheetml/2006/main" count="9068" uniqueCount="3424">
  <si>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</si>
  <si>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</si>
  <si>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</si>
  <si>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</si>
  <si>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</si>
  <si>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</si>
  <si>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</si>
  <si>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</si>
  <si>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</si>
  <si>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</si>
  <si>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</si>
  <si>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</si>
  <si>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</si>
  <si>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</si>
  <si>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</si>
  <si>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</si>
  <si>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</si>
  <si>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</si>
  <si>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</si>
  <si>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</si>
  <si>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</si>
  <si>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</si>
  <si>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</si>
  <si>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</si>
  <si>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</si>
  <si>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</si>
  <si>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</si>
  <si>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</si>
  <si>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</si>
  <si>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</si>
  <si>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</si>
  <si>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</si>
  <si>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</si>
  <si>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</si>
  <si>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</si>
  <si>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</si>
  <si>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</si>
  <si>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</si>
  <si>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</si>
  <si>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</si>
  <si>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</si>
  <si>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</si>
  <si>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</si>
  <si>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</si>
  <si>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</si>
  <si>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</si>
  <si>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</si>
  <si>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</si>
  <si>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</si>
  <si>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</si>
  <si>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</si>
  <si>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</si>
  <si>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</si>
  <si>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</si>
  <si>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</si>
  <si>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</si>
  <si>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</si>
  <si>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</si>
  <si>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</si>
  <si>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</si>
  <si>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</si>
  <si>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</si>
  <si>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</si>
  <si>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</si>
  <si>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</si>
  <si>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</si>
  <si>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</si>
  <si>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</si>
  <si>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</si>
  <si>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</si>
  <si>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</si>
  <si>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</si>
  <si>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</si>
  <si>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</si>
  <si>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</si>
  <si>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</si>
  <si>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</si>
  <si>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</si>
  <si>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</si>
  <si>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</si>
  <si>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</si>
  <si>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</si>
  <si>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</si>
  <si>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</si>
  <si>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</si>
  <si>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</si>
  <si>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</si>
  <si>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</si>
  <si>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</si>
  <si>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</si>
  <si>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</si>
  <si>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</si>
  <si>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</si>
  <si>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</si>
  <si>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</si>
  <si>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</si>
  <si>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</si>
  <si>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</si>
  <si>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</si>
  <si>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</si>
  <si>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</si>
  <si>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</si>
  <si>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</si>
  <si>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</si>
  <si>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</si>
  <si>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</si>
  <si>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</si>
  <si>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</si>
  <si>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</si>
  <si>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</si>
  <si>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</si>
  <si>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</si>
  <si>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</si>
  <si>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</si>
  <si>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</si>
  <si>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</si>
  <si>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</si>
  <si>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</si>
  <si>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</si>
  <si>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</si>
  <si>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</si>
  <si>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</si>
  <si>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</si>
  <si>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</si>
  <si>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</si>
  <si>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</si>
  <si>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</si>
  <si>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</si>
  <si>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</si>
  <si>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</si>
  <si>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</si>
  <si>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</si>
  <si>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</si>
  <si>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</si>
  <si>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</si>
  <si>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</si>
  <si>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</si>
  <si>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</si>
  <si>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</si>
  <si>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</si>
  <si>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</si>
  <si>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</si>
  <si>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</si>
  <si>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</si>
  <si>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</si>
  <si>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</si>
  <si>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</si>
  <si>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</si>
  <si>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</si>
  <si>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</si>
  <si>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</si>
  <si>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</si>
  <si>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</si>
  <si>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</si>
  <si>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</si>
  <si>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</si>
  <si>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</si>
  <si>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</si>
  <si>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</si>
  <si>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</si>
  <si>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</si>
  <si>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</si>
  <si>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</si>
  <si>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</si>
  <si>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</si>
  <si>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</si>
  <si>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</si>
  <si>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</si>
  <si>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</si>
  <si>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</si>
  <si>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</si>
  <si>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</si>
  <si>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</si>
  <si>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</si>
  <si>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</si>
  <si>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</si>
  <si>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</si>
  <si>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</si>
  <si>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</si>
  <si>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</si>
  <si>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</si>
  <si>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</si>
  <si>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</si>
  <si>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</si>
  <si>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</si>
  <si>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</si>
  <si>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</si>
  <si>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</si>
  <si>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</si>
  <si>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</si>
  <si>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</si>
  <si>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</si>
  <si>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</si>
  <si>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</si>
  <si>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</si>
  <si>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</si>
  <si>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</si>
  <si>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</si>
  <si>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</si>
  <si>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</si>
  <si>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</si>
  <si>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</si>
  <si>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</si>
  <si>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</si>
  <si>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</si>
  <si>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</si>
  <si>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</si>
  <si>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</si>
  <si>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</si>
  <si>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</si>
  <si>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</si>
  <si>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</si>
  <si>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</si>
  <si>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</si>
  <si>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</si>
  <si>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</si>
  <si>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</si>
  <si>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</si>
  <si>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</si>
  <si>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</si>
  <si>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</si>
  <si>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</si>
  <si>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</si>
  <si>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</si>
  <si>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</si>
  <si>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</si>
  <si>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</si>
  <si>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</si>
  <si>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</si>
  <si>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</si>
  <si>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</si>
  <si>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</si>
  <si>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</si>
  <si>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</si>
  <si>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</si>
  <si>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</si>
  <si>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</si>
  <si>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</si>
  <si>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</si>
  <si>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</si>
  <si>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</si>
  <si>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</si>
  <si>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</si>
  <si>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</si>
  <si>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</si>
  <si>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</si>
  <si>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</si>
  <si>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</si>
  <si>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</si>
  <si>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</si>
  <si>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</si>
  <si>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</si>
  <si>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</si>
  <si>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</si>
  <si>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</si>
  <si>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</si>
  <si>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</si>
  <si>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</si>
  <si>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</si>
  <si>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</si>
  <si>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</si>
  <si>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</si>
  <si>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</si>
  <si>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</si>
  <si>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</si>
  <si>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</si>
  <si>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</si>
  <si>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</si>
  <si>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</si>
  <si>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</si>
  <si>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</si>
  <si>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</si>
  <si>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</si>
  <si>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</si>
  <si>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</si>
  <si>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</si>
  <si>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</si>
  <si>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</si>
  <si>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</si>
  <si>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</si>
  <si>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</si>
  <si>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</si>
  <si>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</si>
  <si>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</si>
  <si>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</si>
  <si>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</si>
  <si>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</si>
  <si>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</si>
  <si>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</si>
  <si>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</si>
  <si>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</si>
  <si>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</si>
  <si>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</si>
  <si>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</si>
  <si>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</si>
  <si>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</si>
  <si>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</si>
  <si>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</si>
  <si>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</si>
  <si>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</si>
  <si>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</si>
  <si>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</si>
  <si>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</si>
  <si>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</si>
  <si>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</si>
  <si>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</si>
  <si>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</si>
  <si>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</si>
  <si>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</si>
  <si>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</si>
  <si>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</si>
  <si>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</si>
  <si>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</si>
  <si>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</si>
  <si>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</si>
  <si>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</si>
  <si>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</si>
  <si>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</si>
  <si>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</si>
  <si>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</si>
  <si>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</si>
  <si>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</si>
  <si>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</si>
  <si>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</si>
  <si>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</si>
  <si>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</si>
  <si>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</si>
  <si>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</si>
  <si>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</si>
  <si>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</si>
  <si>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</si>
  <si>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</si>
  <si>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</si>
  <si>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</si>
  <si>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</si>
  <si>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</si>
  <si>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</si>
  <si>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</si>
  <si>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</si>
  <si>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</si>
  <si>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</si>
  <si>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</si>
  <si>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</si>
  <si>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</si>
  <si>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</si>
  <si>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</si>
  <si>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</si>
  <si>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</si>
  <si>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</si>
  <si>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</si>
  <si>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</si>
  <si>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</si>
  <si>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</si>
  <si>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</si>
  <si>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</si>
  <si>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</si>
  <si>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</si>
  <si>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</si>
  <si>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</si>
  <si>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</si>
  <si>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</si>
  <si>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</si>
  <si>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</si>
  <si>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</si>
  <si>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</si>
  <si>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</si>
  <si>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</si>
  <si>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</si>
  <si>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</si>
  <si>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</si>
  <si>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</si>
  <si>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</si>
  <si>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</si>
  <si>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</si>
  <si>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</si>
  <si>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</si>
  <si>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</si>
  <si>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</si>
  <si>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</si>
  <si>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</si>
  <si>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</si>
  <si>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</si>
  <si>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</si>
  <si>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</si>
  <si>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</si>
  <si>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</si>
  <si>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</si>
  <si>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</si>
  <si>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</si>
  <si>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</si>
  <si>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</si>
  <si>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</si>
  <si>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</si>
  <si>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</si>
  <si>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</si>
  <si>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</si>
  <si>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</si>
  <si>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</si>
  <si>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</si>
  <si>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</si>
  <si>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</si>
  <si>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</si>
  <si>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</si>
  <si>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</si>
  <si>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</si>
  <si>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</si>
  <si>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</si>
  <si>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</si>
  <si>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</si>
  <si>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</si>
  <si>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</si>
  <si>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</si>
  <si>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</si>
  <si>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</si>
  <si>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</si>
  <si>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</si>
  <si>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</si>
  <si>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</si>
  <si>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</si>
  <si>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</si>
  <si>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</si>
  <si>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</si>
  <si>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</si>
  <si>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</si>
  <si>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</si>
  <si>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</si>
  <si>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</si>
  <si>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</si>
  <si>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</si>
  <si>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</si>
  <si>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</si>
  <si>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</si>
  <si>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</si>
  <si>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</si>
  <si>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</si>
  <si>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</si>
  <si>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</si>
  <si>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</si>
  <si>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</si>
  <si>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</si>
  <si>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</si>
  <si>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</si>
  <si>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</si>
  <si>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</si>
  <si>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</si>
  <si>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</si>
  <si>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</si>
  <si>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</si>
  <si>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</si>
  <si>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</si>
  <si>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</si>
  <si>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</si>
  <si>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</si>
  <si>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</si>
  <si>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</si>
  <si>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</si>
  <si>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</si>
  <si>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</si>
  <si>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</si>
  <si>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</si>
  <si>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</si>
  <si>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</si>
  <si>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</si>
  <si>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</si>
  <si>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</si>
  <si>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</si>
  <si>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</si>
  <si>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</si>
  <si>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</si>
  <si>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</si>
  <si>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</si>
  <si>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</si>
  <si>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</si>
  <si>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</si>
  <si>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</si>
  <si>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</si>
  <si>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</si>
  <si>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</si>
  <si>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</si>
  <si>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</si>
  <si>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</si>
  <si>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</si>
  <si>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</si>
  <si>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</si>
  <si>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</si>
  <si>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</si>
  <si>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</si>
  <si>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</si>
  <si>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</si>
  <si>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</si>
  <si>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</si>
  <si>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</si>
  <si>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</si>
  <si>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</si>
  <si>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</si>
  <si>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</si>
  <si>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</si>
  <si>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</si>
  <si>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</si>
  <si>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</si>
  <si>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</si>
  <si>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</si>
  <si>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</si>
  <si>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</si>
  <si>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</si>
  <si>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</si>
  <si>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</si>
  <si>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</si>
  <si>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</si>
  <si>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</si>
  <si>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</si>
  <si>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</si>
  <si>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</si>
  <si>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</si>
  <si>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</si>
  <si>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</si>
  <si>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</si>
  <si>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</si>
  <si>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</si>
  <si>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</si>
  <si>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</si>
  <si>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</si>
  <si>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</si>
  <si>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</si>
  <si>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</si>
  <si>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</si>
  <si>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</si>
  <si>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</si>
  <si>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</si>
  <si>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</si>
  <si>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</si>
  <si>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</si>
  <si>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</si>
  <si>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</si>
  <si>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</si>
  <si>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</si>
  <si>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</si>
  <si>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</si>
  <si>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</si>
  <si>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</si>
  <si>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</si>
  <si>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</si>
  <si>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</si>
  <si>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</si>
  <si>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</si>
  <si>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</si>
  <si>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</si>
  <si>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</si>
  <si>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</si>
  <si>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</si>
  <si>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</si>
  <si>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</si>
  <si>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</si>
  <si>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</si>
  <si>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</si>
  <si>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</si>
  <si>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</si>
  <si>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</si>
  <si>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</si>
  <si>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</si>
  <si>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</si>
  <si>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</si>
  <si>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</si>
  <si>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</si>
  <si>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</si>
  <si>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</si>
  <si>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</si>
  <si>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</si>
  <si>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</si>
  <si>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</si>
  <si>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</si>
  <si>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</si>
  <si>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</si>
  <si>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</si>
  <si>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</si>
  <si>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</si>
  <si>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</si>
  <si>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</si>
  <si>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</si>
  <si>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</si>
  <si>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</si>
  <si>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</si>
  <si>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</si>
  <si>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</si>
  <si>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</si>
  <si>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</si>
  <si>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</si>
  <si>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</si>
  <si>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</si>
  <si>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</si>
  <si>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</si>
  <si>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</si>
  <si>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</si>
  <si>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</si>
  <si>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</si>
  <si>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</si>
  <si>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</si>
  <si>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</si>
  <si>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</si>
  <si>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</si>
  <si>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</si>
  <si>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</si>
  <si>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</si>
  <si>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</si>
  <si>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</si>
  <si>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</si>
  <si>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</si>
  <si>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</si>
  <si>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</si>
  <si>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</si>
  <si>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</si>
  <si>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</si>
  <si>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</si>
  <si>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</si>
  <si>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</si>
  <si>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</si>
  <si>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</si>
  <si>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</si>
  <si>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</si>
  <si>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</si>
  <si>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</si>
  <si>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</si>
  <si>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</si>
  <si>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</si>
  <si>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</si>
  <si>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</si>
  <si>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</si>
  <si>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</si>
  <si>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</si>
  <si>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</si>
  <si>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</si>
  <si>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</si>
  <si>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</si>
  <si>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</si>
  <si>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</si>
  <si>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</si>
  <si>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</si>
  <si>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</si>
  <si>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</si>
  <si>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</si>
  <si>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</si>
  <si>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</si>
  <si>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</si>
  <si>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</si>
  <si>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</si>
  <si>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</si>
  <si>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</si>
  <si>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</si>
  <si>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</si>
  <si>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</si>
  <si>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</si>
  <si>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</si>
  <si>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</si>
  <si>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</si>
  <si>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</si>
  <si>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</si>
  <si>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</si>
  <si>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</si>
  <si>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</si>
  <si>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</si>
  <si>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</si>
  <si>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</si>
  <si>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</si>
  <si>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</si>
  <si>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</si>
  <si>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</si>
  <si>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</si>
  <si>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</si>
  <si>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</si>
  <si>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</si>
  <si>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</si>
  <si>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</si>
  <si>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</si>
  <si>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</si>
  <si>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</si>
  <si>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</si>
  <si>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</si>
  <si>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</si>
  <si>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</si>
  <si>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</si>
  <si>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</si>
  <si>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</si>
  <si>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</si>
  <si>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</si>
  <si>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</si>
  <si>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</si>
  <si>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</si>
  <si>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</si>
  <si>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</si>
  <si>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</si>
  <si>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</si>
  <si>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</si>
  <si>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</si>
  <si>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</si>
  <si>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</si>
  <si>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</si>
  <si>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</si>
  <si>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</si>
  <si>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</si>
  <si>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</si>
  <si>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</si>
  <si>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</si>
  <si>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</si>
  <si>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</si>
  <si>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</si>
  <si>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</si>
  <si>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</si>
  <si>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</si>
  <si>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</si>
  <si>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</si>
  <si>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</si>
  <si>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</si>
  <si>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</si>
  <si>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</si>
  <si>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</si>
  <si>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</si>
  <si>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</si>
  <si>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</si>
  <si>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</si>
  <si>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</si>
  <si>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</si>
  <si>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</si>
  <si>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</si>
  <si>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</si>
  <si>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</si>
  <si>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</si>
  <si>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</si>
  <si>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</si>
  <si>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</si>
  <si>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</si>
  <si>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</si>
  <si>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</si>
  <si>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</si>
  <si>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</si>
  <si>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</si>
  <si>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</si>
  <si>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</si>
  <si>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</si>
  <si>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</si>
  <si>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</si>
  <si>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</si>
  <si>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</si>
  <si>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</si>
  <si>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</si>
  <si>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</si>
  <si>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</si>
  <si>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</si>
  <si>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</si>
  <si>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</si>
  <si>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</si>
  <si>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</si>
  <si>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</si>
  <si>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</si>
  <si>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</si>
  <si>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</si>
  <si>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</si>
  <si>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</si>
  <si>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</si>
  <si>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</si>
  <si>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</si>
  <si>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</si>
  <si>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</si>
  <si>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</si>
  <si>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</si>
  <si>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</si>
  <si>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</si>
  <si>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</si>
  <si>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</si>
  <si>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</si>
  <si>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</si>
  <si>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</si>
  <si>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</si>
  <si>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</si>
  <si>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</si>
  <si>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</si>
  <si>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</si>
  <si>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</si>
  <si>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</si>
  <si>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</si>
  <si>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</si>
  <si>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</si>
  <si>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</si>
  <si>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</si>
  <si>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</si>
  <si>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</si>
  <si>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</si>
  <si>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</si>
  <si>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</si>
  <si>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</si>
  <si>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</si>
  <si>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</si>
  <si>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</si>
  <si>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</si>
  <si>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</si>
  <si>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</si>
  <si>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</si>
  <si>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</si>
  <si>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</si>
  <si>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</si>
  <si>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</si>
  <si>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</si>
  <si>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</si>
  <si>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</si>
  <si>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</si>
  <si>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</si>
  <si>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</si>
  <si>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</si>
  <si>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</si>
  <si>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</si>
  <si>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</si>
  <si>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</si>
  <si>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</si>
  <si>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</si>
  <si>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</si>
  <si>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</si>
  <si>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</si>
  <si>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</si>
  <si>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</si>
  <si>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</si>
  <si>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</si>
  <si>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</si>
  <si>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</si>
  <si>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</si>
  <si>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</si>
  <si>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</si>
  <si>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</si>
  <si>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</si>
  <si>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</si>
  <si>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</si>
  <si>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</si>
  <si>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</si>
  <si>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</si>
  <si>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</si>
  <si>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</si>
  <si>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</si>
  <si>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</si>
  <si>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</si>
  <si>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</si>
  <si>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</si>
  <si>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</si>
  <si>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</si>
  <si>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</si>
  <si>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</si>
  <si>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</si>
  <si>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</si>
  <si>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</si>
  <si>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</si>
  <si>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</si>
  <si>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</si>
  <si>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</si>
  <si>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</si>
  <si>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</si>
  <si>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</si>
  <si>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</si>
  <si>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</si>
  <si>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</si>
  <si>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</si>
  <si>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</si>
  <si>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</si>
  <si>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</si>
  <si>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</si>
  <si>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</si>
  <si>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</si>
  <si>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</si>
  <si>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</si>
  <si>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</si>
  <si>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</si>
  <si>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</si>
  <si>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</si>
  <si>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</si>
  <si>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</si>
  <si>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</si>
  <si>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</si>
  <si>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</si>
  <si>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</si>
  <si>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</si>
  <si>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</si>
  <si>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</si>
  <si>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</si>
  <si>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</si>
  <si>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</si>
  <si>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</si>
  <si>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</si>
  <si>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</si>
  <si>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</si>
  <si>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</si>
  <si>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</si>
  <si>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</si>
  <si>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</si>
  <si>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</si>
  <si>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</si>
  <si>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</si>
  <si>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</si>
  <si>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</si>
  <si>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</si>
  <si>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</si>
  <si>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</si>
  <si>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</si>
  <si>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</si>
  <si>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</si>
  <si>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</si>
  <si>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</si>
  <si>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</si>
  <si>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</si>
  <si>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</si>
  <si>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</si>
  <si>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</si>
  <si>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</si>
  <si>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</si>
  <si>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</si>
  <si>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</si>
  <si>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</si>
  <si>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</si>
  <si>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</si>
  <si>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</si>
  <si>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</si>
  <si>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</si>
  <si>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</si>
  <si>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</si>
  <si>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</si>
  <si>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</si>
  <si>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</si>
  <si>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</si>
  <si>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</si>
  <si>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</si>
  <si>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</si>
  <si>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</si>
  <si>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</si>
  <si>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</si>
  <si>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</si>
  <si>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</si>
  <si>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</si>
  <si>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</si>
  <si>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</si>
  <si>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</si>
  <si>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</si>
  <si>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</si>
  <si>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</si>
  <si>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</si>
  <si>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</si>
  <si>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</si>
  <si>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</si>
  <si>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</si>
  <si>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</si>
  <si>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</si>
  <si>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</si>
  <si>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</si>
  <si>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</si>
  <si>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</si>
  <si>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</si>
  <si>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</si>
  <si>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</si>
  <si>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</si>
  <si>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</si>
  <si>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</si>
  <si>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</si>
  <si>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</si>
  <si>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</si>
  <si>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</si>
  <si>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</si>
  <si>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</si>
  <si>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</si>
  <si>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</si>
  <si>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</si>
  <si>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</si>
  <si>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</si>
  <si>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</si>
  <si>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</si>
  <si>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</si>
  <si>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</si>
  <si>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</si>
  <si>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</si>
  <si>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</si>
  <si>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</si>
  <si>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</si>
  <si>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</si>
  <si>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</si>
  <si>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</si>
  <si>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</si>
  <si>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</si>
  <si>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</si>
  <si>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</si>
  <si>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</si>
  <si>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</si>
  <si>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</si>
  <si>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</si>
  <si>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</si>
  <si>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</si>
  <si>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</si>
  <si>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</si>
  <si>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</si>
  <si>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</si>
  <si>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</si>
  <si>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</si>
  <si>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</si>
  <si>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</si>
  <si>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</si>
  <si>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</si>
  <si>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</si>
  <si>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</si>
  <si>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</si>
  <si>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</si>
  <si>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</si>
  <si>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</si>
  <si>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</si>
  <si>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</si>
  <si>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</si>
  <si>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</si>
  <si>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</si>
  <si>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</si>
  <si>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</si>
  <si>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</si>
  <si>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</si>
  <si>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</si>
  <si>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</si>
  <si>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</si>
  <si>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</si>
  <si>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</si>
  <si>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</si>
  <si>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</si>
  <si>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</si>
  <si>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</si>
  <si>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</si>
  <si>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</si>
  <si>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</si>
  <si>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</si>
  <si>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</si>
  <si>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</si>
  <si>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</si>
  <si>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</si>
  <si>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</si>
  <si>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</si>
  <si>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</si>
  <si>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</si>
  <si>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</si>
  <si>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</si>
  <si>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</si>
  <si>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</si>
  <si>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</si>
  <si>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</si>
  <si>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</si>
  <si>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</si>
  <si>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</si>
  <si>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</si>
  <si>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</si>
  <si>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</si>
  <si>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</si>
  <si>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</si>
  <si>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</si>
  <si>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</si>
  <si>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</si>
  <si>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</si>
  <si>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</si>
  <si>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</si>
  <si>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</si>
  <si>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</si>
  <si>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</si>
  <si>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</si>
  <si>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</si>
  <si>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</si>
  <si>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</si>
  <si>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</si>
  <si>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</si>
  <si>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</si>
  <si>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</si>
  <si>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</si>
  <si>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</si>
  <si>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</si>
  <si>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</si>
  <si>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</si>
  <si>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</si>
  <si>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</si>
  <si>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</si>
  <si>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</si>
  <si>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</si>
  <si>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</si>
  <si>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</si>
  <si>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</si>
  <si>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</si>
  <si>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</si>
  <si>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</si>
  <si>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</si>
  <si>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</si>
  <si>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</si>
  <si>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</si>
  <si>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</si>
  <si>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</si>
  <si>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</si>
  <si>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</si>
  <si>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</si>
  <si>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</si>
  <si>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</si>
  <si>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</si>
  <si>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</si>
  <si>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</si>
  <si>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</si>
  <si>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</si>
  <si>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</si>
  <si>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</si>
  <si>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</si>
  <si>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</si>
  <si>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</si>
  <si>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</si>
  <si>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</si>
  <si>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</si>
  <si>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</si>
  <si>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</si>
  <si>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</si>
  <si>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</si>
  <si>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</si>
  <si>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</si>
  <si>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</si>
  <si>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</si>
  <si>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</si>
  <si>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</si>
  <si>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</si>
  <si>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</si>
  <si>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</si>
  <si>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</si>
  <si>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</si>
  <si>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</si>
  <si>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</si>
  <si>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</si>
  <si>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</si>
  <si>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</si>
  <si>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</si>
  <si>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</si>
  <si>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</si>
  <si>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</si>
  <si>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</si>
  <si>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</si>
  <si>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</si>
  <si>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</si>
  <si>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</si>
  <si>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</si>
  <si>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</si>
  <si>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</si>
  <si>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</si>
  <si>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</si>
  <si>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</si>
  <si>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</si>
  <si>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</si>
  <si>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</si>
  <si>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</si>
  <si>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</si>
  <si>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</si>
  <si>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</si>
  <si>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</si>
  <si>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</si>
  <si>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</si>
  <si>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</si>
  <si>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</si>
  <si>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</si>
  <si>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</si>
  <si>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</si>
  <si>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</si>
  <si>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</si>
  <si>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</si>
  <si>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</si>
  <si>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</si>
  <si>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</si>
  <si>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</si>
  <si>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</si>
  <si>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</si>
  <si>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</si>
  <si>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</si>
  <si>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</si>
  <si>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</si>
  <si>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</si>
  <si>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</si>
  <si>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</si>
  <si>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</si>
  <si>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</si>
  <si>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</si>
  <si>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</si>
  <si>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</si>
  <si>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</si>
  <si>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</si>
  <si>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</si>
  <si>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</si>
  <si>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</si>
  <si>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</si>
  <si>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</si>
  <si>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</si>
  <si>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</si>
  <si>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</si>
  <si>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</si>
  <si>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</si>
  <si>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</si>
  <si>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</si>
  <si>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</si>
  <si>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</si>
  <si>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</si>
  <si>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</si>
  <si>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</si>
  <si>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</si>
  <si>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</si>
  <si>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</si>
  <si>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</si>
  <si>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</si>
  <si>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</si>
  <si>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</si>
  <si>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</si>
  <si>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</si>
  <si>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</si>
  <si>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</si>
  <si>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</si>
  <si>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</si>
  <si>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</si>
  <si>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</si>
  <si>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</si>
  <si>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</si>
  <si>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</si>
  <si>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</si>
  <si>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</si>
  <si>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</si>
  <si>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</si>
  <si>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</si>
  <si>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</si>
  <si>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</si>
  <si>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</si>
  <si>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</si>
  <si>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</si>
  <si>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</si>
  <si>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</si>
  <si>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</si>
  <si>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</si>
  <si>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</si>
  <si>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</si>
  <si>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</si>
  <si>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</si>
  <si>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</si>
  <si>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</si>
  <si>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</si>
  <si>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</si>
  <si>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</si>
  <si>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</si>
  <si>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</si>
  <si>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</si>
  <si>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</si>
  <si>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</si>
  <si>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</si>
  <si>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</si>
  <si>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</si>
  <si>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</si>
  <si>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</si>
  <si>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</si>
  <si>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</si>
  <si>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</si>
  <si>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</si>
  <si>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</si>
  <si>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</si>
  <si>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</si>
  <si>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</si>
  <si>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</si>
  <si>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</si>
  <si>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</si>
  <si>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</si>
  <si>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</si>
  <si>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</si>
  <si>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</si>
  <si>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</si>
  <si>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</si>
  <si>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</si>
  <si>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</si>
  <si>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</si>
  <si>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</si>
  <si>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</si>
  <si>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</si>
  <si>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</si>
  <si>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</si>
  <si>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</si>
  <si>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</si>
  <si>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</si>
  <si>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</si>
  <si>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</si>
  <si>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</si>
  <si>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</si>
  <si>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</si>
  <si>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</si>
  <si>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</si>
  <si>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</si>
  <si>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</si>
  <si>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</si>
  <si>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</si>
  <si>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</si>
  <si>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</si>
  <si>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</si>
  <si>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</si>
  <si>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</si>
  <si>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</si>
  <si>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</si>
  <si>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</si>
  <si>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</si>
  <si>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</si>
  <si>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</si>
  <si>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</si>
  <si>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</si>
  <si>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</si>
  <si>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</si>
  <si>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</si>
  <si>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</si>
  <si>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</si>
  <si>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</si>
  <si>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</si>
  <si>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</si>
  <si>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</si>
  <si>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</si>
  <si>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</si>
  <si>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</si>
  <si>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</si>
  <si>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</si>
  <si>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</si>
  <si>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</si>
  <si>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</si>
  <si>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</si>
  <si>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</si>
  <si>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</si>
  <si>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</si>
  <si>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</si>
  <si>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</si>
  <si>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</si>
  <si>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</si>
  <si>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</si>
  <si>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</si>
  <si>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</si>
  <si>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</si>
  <si>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</si>
  <si>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</si>
  <si>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</si>
  <si>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</si>
  <si>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</si>
  <si>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</si>
  <si>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</si>
  <si>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</si>
  <si>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</si>
  <si>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</si>
  <si>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</si>
  <si>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</si>
  <si>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</si>
  <si>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</si>
  <si>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</si>
  <si>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</si>
  <si>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</si>
  <si>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</si>
  <si>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</si>
  <si>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</si>
  <si>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</si>
  <si>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</si>
  <si>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</si>
  <si>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</si>
  <si>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</si>
  <si>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</si>
  <si>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</si>
  <si>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</si>
  <si>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</si>
  <si>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</si>
  <si>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</si>
  <si>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</si>
  <si>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</si>
  <si>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</si>
  <si>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</si>
  <si>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</si>
  <si>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</si>
  <si>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</si>
  <si>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</si>
  <si>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</si>
  <si>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</si>
  <si>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</si>
  <si>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</si>
  <si>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</si>
  <si>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</si>
  <si>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</si>
  <si>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</si>
  <si>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</si>
  <si>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</si>
  <si>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</si>
  <si>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</si>
  <si>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</si>
  <si>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</si>
  <si>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</si>
  <si>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</si>
  <si>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</si>
  <si>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</si>
  <si>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</si>
  <si>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</si>
  <si>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</si>
  <si>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</si>
  <si>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</si>
  <si>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</si>
  <si>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</si>
  <si>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</si>
  <si>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</si>
  <si>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</si>
  <si>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</si>
  <si>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</si>
  <si>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</si>
  <si>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</si>
  <si>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</si>
  <si>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</si>
  <si>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</si>
  <si>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</si>
  <si>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</si>
  <si>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</si>
  <si>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</si>
  <si>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</si>
  <si>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</si>
  <si>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</si>
  <si>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</si>
  <si>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</si>
  <si>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</si>
  <si>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</si>
  <si>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</si>
  <si>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</si>
  <si>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</si>
  <si>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</si>
  <si>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</si>
  <si>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</si>
  <si>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</si>
  <si>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</si>
  <si>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</si>
  <si>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</si>
  <si>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</si>
  <si>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</si>
  <si>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</si>
  <si>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</si>
  <si>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</si>
  <si>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</si>
  <si>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</si>
  <si>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</si>
  <si>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</si>
  <si>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</si>
  <si>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</si>
  <si>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</si>
  <si>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</si>
  <si>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</si>
  <si>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</si>
  <si>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</si>
  <si>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</si>
  <si>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</si>
  <si>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</si>
  <si>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</si>
  <si>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</si>
  <si>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</si>
  <si>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</si>
  <si>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</si>
  <si>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</si>
  <si>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</si>
  <si>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</si>
  <si>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</si>
  <si>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</si>
  <si>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</si>
  <si>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</si>
  <si>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</si>
  <si>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</si>
  <si>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</si>
  <si>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</si>
  <si>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</si>
  <si>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</si>
  <si>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</si>
  <si>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</si>
  <si>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</si>
  <si>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</si>
  <si>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</si>
  <si>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</si>
  <si>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</si>
  <si>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</si>
  <si>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</si>
  <si>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</si>
  <si>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</si>
  <si>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</si>
  <si>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</si>
  <si>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</si>
  <si>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</si>
  <si>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</si>
  <si>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</si>
  <si>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</si>
  <si>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</si>
  <si>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</si>
  <si>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</si>
  <si>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</si>
  <si>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</si>
  <si>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</si>
  <si>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</si>
  <si>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</si>
  <si>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</si>
  <si>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</si>
  <si>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</si>
  <si>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</si>
  <si>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</si>
  <si>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</si>
  <si>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</si>
  <si>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</si>
  <si>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</si>
  <si>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</si>
  <si>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</si>
  <si>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</si>
  <si>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</si>
  <si>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</si>
  <si>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</si>
  <si>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</si>
  <si>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</si>
  <si>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</si>
  <si>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</si>
  <si>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</si>
  <si>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</si>
  <si>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</si>
  <si>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</si>
  <si>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</si>
  <si>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</si>
  <si>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</si>
  <si>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</si>
  <si>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</si>
  <si>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</si>
  <si>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</si>
  <si>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</si>
  <si>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</si>
  <si>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</si>
  <si>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</si>
  <si>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</si>
  <si>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</si>
  <si>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</si>
  <si>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</si>
  <si>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</si>
  <si>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</si>
  <si>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</si>
  <si>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</si>
  <si>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</si>
  <si>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</si>
  <si>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</si>
  <si>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</si>
  <si>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</si>
  <si>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</si>
  <si>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</si>
  <si>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</si>
  <si>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</si>
  <si>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</si>
  <si>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</si>
  <si>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</si>
  <si>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</si>
  <si>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</si>
  <si>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</si>
  <si>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</si>
  <si>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</si>
  <si>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</si>
  <si>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</si>
  <si>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</si>
  <si>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</si>
  <si>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</si>
  <si>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</si>
  <si>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</si>
  <si>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</si>
  <si>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</si>
  <si>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</si>
  <si>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</si>
  <si>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</si>
  <si>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</si>
  <si>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</si>
  <si>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</si>
  <si>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</si>
  <si>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</si>
  <si>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</si>
  <si>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</si>
  <si>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</si>
  <si>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</si>
  <si>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</si>
  <si>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</si>
  <si>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</si>
  <si>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</si>
  <si>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</si>
  <si>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</si>
  <si>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</si>
  <si>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</si>
  <si>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</si>
  <si>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</si>
  <si>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</si>
  <si>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</si>
  <si>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</si>
  <si>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</si>
  <si>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</si>
  <si>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</si>
  <si>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</si>
  <si>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</si>
  <si>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</si>
  <si>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</si>
  <si>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</si>
  <si>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</si>
  <si>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</si>
  <si>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</si>
  <si>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</si>
  <si>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</si>
  <si>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</si>
  <si>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</si>
  <si>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</si>
  <si>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</si>
  <si>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</si>
  <si>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</si>
  <si>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</si>
  <si>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</si>
  <si>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</si>
  <si>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</si>
  <si>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</si>
  <si>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</si>
  <si>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</si>
  <si>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</si>
  <si>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</si>
  <si>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</si>
  <si>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</si>
  <si>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</si>
  <si>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</si>
  <si>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</si>
  <si>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</si>
  <si>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</si>
  <si>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</si>
  <si>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</si>
  <si>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</si>
  <si>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</si>
  <si>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</si>
  <si>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</si>
  <si>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</si>
  <si>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</si>
  <si>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</si>
  <si>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</si>
  <si>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</si>
  <si>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</si>
  <si>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</si>
  <si>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</si>
  <si>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</si>
  <si>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</si>
  <si>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</si>
  <si>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</si>
  <si>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</si>
  <si>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</si>
  <si>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</si>
  <si>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</si>
  <si>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</si>
  <si>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</si>
  <si>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</si>
  <si>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</si>
  <si>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</si>
  <si>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</si>
  <si>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</si>
  <si>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</si>
  <si>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</si>
  <si>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</si>
  <si>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</si>
  <si>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</si>
  <si>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</si>
  <si>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</si>
  <si>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</si>
  <si>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</si>
  <si>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</si>
  <si>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</si>
  <si>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</si>
  <si>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</si>
  <si>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</si>
  <si>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</si>
  <si>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</si>
  <si>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</si>
  <si>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</si>
  <si>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</si>
  <si>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</si>
  <si>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</si>
  <si>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</si>
  <si>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</si>
  <si>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</si>
  <si>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</si>
  <si>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</si>
  <si>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</si>
  <si>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</si>
  <si>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</si>
  <si>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</si>
  <si>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</si>
  <si>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</si>
  <si>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</si>
  <si>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</si>
  <si>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</si>
  <si>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</si>
  <si>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</si>
  <si>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</si>
  <si>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</si>
  <si>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</si>
  <si>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</si>
  <si>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</si>
  <si>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</si>
  <si>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</si>
  <si>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</si>
  <si>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</si>
  <si>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</si>
  <si>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</si>
  <si>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</si>
  <si>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</si>
  <si>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</si>
  <si>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</si>
  <si>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</si>
  <si>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</si>
  <si>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</si>
  <si>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</si>
  <si>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</si>
  <si>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</si>
  <si>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</si>
  <si>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</si>
  <si>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</si>
  <si>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</si>
  <si>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</si>
  <si>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</si>
  <si>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</si>
  <si>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</si>
  <si>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</si>
  <si>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</si>
  <si>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</si>
  <si>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</si>
  <si>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</si>
  <si>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</si>
  <si>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</si>
  <si>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</si>
  <si>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</si>
  <si>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</si>
  <si>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</si>
  <si>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</si>
  <si>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</si>
  <si>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</si>
  <si>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</si>
  <si>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</si>
  <si>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</si>
  <si>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</si>
  <si>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</si>
  <si>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</si>
  <si>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</si>
  <si>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</si>
  <si>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</si>
  <si>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</si>
  <si>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</si>
  <si>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</si>
  <si>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</si>
  <si>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</si>
  <si>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</si>
  <si>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</si>
  <si>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</si>
  <si>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</si>
  <si>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</si>
  <si>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</si>
  <si>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</si>
  <si>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</si>
  <si>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</si>
  <si>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</si>
  <si>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</si>
  <si>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</si>
  <si>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</si>
  <si>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</si>
  <si>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</si>
  <si>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</si>
  <si>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</si>
  <si>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</si>
  <si>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</si>
  <si>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</si>
  <si>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</si>
  <si>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</si>
  <si>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</si>
  <si>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</si>
  <si>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</si>
  <si>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</si>
  <si>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</si>
  <si>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</si>
  <si>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</si>
  <si>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</si>
  <si>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</si>
  <si>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</si>
  <si>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</si>
  <si>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</si>
  <si>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</si>
  <si>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</si>
  <si>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</si>
  <si>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</si>
  <si>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</si>
  <si>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</si>
  <si>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</si>
  <si>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</si>
  <si>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</si>
  <si>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</si>
  <si>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</si>
  <si>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</si>
  <si>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</si>
  <si>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</si>
  <si>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</si>
  <si>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</si>
  <si>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</si>
  <si>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</si>
  <si>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</si>
  <si>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</si>
  <si>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</si>
  <si>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</si>
  <si>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</si>
  <si>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</si>
  <si>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</si>
  <si>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</si>
  <si>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</si>
  <si>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</si>
  <si>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</si>
  <si>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</si>
  <si>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</si>
  <si>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</si>
  <si>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</si>
  <si>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</si>
  <si>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</si>
  <si>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</si>
  <si>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</si>
  <si>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</si>
  <si>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</si>
  <si>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</si>
  <si>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</si>
  <si>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</si>
  <si>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</si>
  <si>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</si>
  <si>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</si>
  <si>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</si>
  <si>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</si>
  <si>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</si>
  <si>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</si>
  <si>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</si>
  <si>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</si>
  <si>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</si>
  <si>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</si>
  <si>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</si>
  <si>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</si>
  <si>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</si>
  <si>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</si>
  <si>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</si>
  <si>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</si>
  <si>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</si>
  <si>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</si>
  <si>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</si>
  <si>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</si>
  <si>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</si>
  <si>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</si>
  <si>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</si>
  <si>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</si>
  <si>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</si>
  <si>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</si>
  <si>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</si>
  <si>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</si>
  <si>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</si>
  <si>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</si>
  <si>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</si>
  <si>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</si>
  <si>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</si>
  <si>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</si>
  <si>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</si>
  <si>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</si>
  <si>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</si>
  <si>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</si>
  <si>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</si>
  <si>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</si>
  <si>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</si>
  <si>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</si>
  <si>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</si>
  <si>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</si>
  <si>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</si>
  <si>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</si>
  <si>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</si>
  <si>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</si>
  <si>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</si>
  <si>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</si>
  <si>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</si>
  <si>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</si>
  <si>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</si>
  <si>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</si>
  <si>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</si>
  <si>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</si>
  <si>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</si>
  <si>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</si>
  <si>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</si>
  <si>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</si>
  <si>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</si>
  <si>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</si>
  <si>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</si>
  <si>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</si>
  <si>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</si>
  <si>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</si>
  <si>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</si>
  <si>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</si>
  <si>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</si>
  <si>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</si>
  <si>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</si>
  <si>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</si>
  <si>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</si>
  <si>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</si>
  <si>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</si>
  <si>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</si>
  <si>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</si>
  <si>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</si>
  <si>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</si>
  <si>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</si>
  <si>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</si>
  <si>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</si>
  <si>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</si>
  <si>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</si>
  <si>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</si>
  <si>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</si>
  <si>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</si>
  <si>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</si>
  <si>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</si>
  <si>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</si>
  <si>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</si>
  <si>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</si>
  <si>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</si>
  <si>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</si>
  <si>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</si>
  <si>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</si>
  <si>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</si>
  <si>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</si>
  <si>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</si>
  <si>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</si>
  <si>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</si>
  <si>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</si>
  <si>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</si>
  <si>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</si>
  <si>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</si>
  <si>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</si>
  <si>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</si>
  <si>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</si>
  <si>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</si>
  <si>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</si>
  <si>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</si>
  <si>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</si>
  <si>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</si>
  <si>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</si>
  <si>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</si>
  <si>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</si>
  <si>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</si>
  <si>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</si>
  <si>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</si>
  <si>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</si>
  <si>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</si>
  <si>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</si>
  <si>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</si>
  <si>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</si>
  <si>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</si>
  <si>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</si>
  <si>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</si>
  <si>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</si>
  <si>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</si>
  <si>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</si>
  <si>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</si>
  <si>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</si>
  <si>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</si>
  <si>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</si>
  <si>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</si>
  <si>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</si>
  <si>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</si>
  <si>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</si>
  <si>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</si>
  <si>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</si>
  <si>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</si>
  <si>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</si>
  <si>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</si>
  <si>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</si>
  <si>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</si>
  <si>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</si>
  <si>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</si>
  <si>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</si>
  <si>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</si>
  <si>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</si>
  <si>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</si>
  <si>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</si>
  <si>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</si>
  <si>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</si>
  <si>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</si>
  <si>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</si>
  <si>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</si>
  <si>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</si>
  <si>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</si>
  <si>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</si>
  <si>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</si>
  <si>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</si>
  <si>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</si>
  <si>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</si>
  <si>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</si>
  <si>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</si>
  <si>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</si>
  <si>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</si>
  <si>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</si>
  <si>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</si>
  <si>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</si>
  <si>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</si>
  <si>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</si>
  <si>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</si>
  <si>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</si>
  <si>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</si>
  <si>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</si>
  <si>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</si>
  <si>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</si>
  <si>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</si>
  <si>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</si>
  <si>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</si>
  <si>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</si>
  <si>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</si>
  <si>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</si>
  <si>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</si>
  <si>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</si>
  <si>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</si>
  <si>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</si>
  <si>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</si>
  <si>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</si>
  <si>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</si>
  <si>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</si>
  <si>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</si>
  <si>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</si>
  <si>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</si>
  <si>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</si>
  <si>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</si>
  <si>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</si>
  <si>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</si>
  <si>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</si>
  <si>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</si>
  <si>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</si>
  <si>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</si>
  <si>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</si>
  <si>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</si>
  <si>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</si>
  <si>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</si>
  <si>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</si>
  <si>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</si>
  <si>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</si>
  <si>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</si>
  <si>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</si>
  <si>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</si>
  <si>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</si>
  <si>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</si>
  <si>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</si>
  <si>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</si>
  <si>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</si>
  <si>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</si>
  <si>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</si>
  <si>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</si>
  <si>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</si>
  <si>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</si>
  <si>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</si>
  <si>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</si>
  <si>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</si>
  <si>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</si>
  <si>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</si>
  <si>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</si>
  <si>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</si>
  <si>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</si>
  <si>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</si>
  <si>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</si>
  <si>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</si>
  <si>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</si>
  <si>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</si>
  <si>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</si>
  <si>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</si>
  <si>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</si>
  <si>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</si>
  <si>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</si>
  <si>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</si>
  <si>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</si>
  <si>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</si>
  <si>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</si>
  <si>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</si>
  <si>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</si>
  <si>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</si>
  <si>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</si>
  <si>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</si>
  <si>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</si>
  <si>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</si>
  <si>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</si>
  <si>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</si>
  <si>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</si>
  <si>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</si>
  <si>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</si>
  <si>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</si>
  <si>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</si>
  <si>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</si>
  <si>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</si>
  <si>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</si>
  <si>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</si>
  <si>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</si>
  <si>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</si>
  <si>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</si>
  <si>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</si>
  <si>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</si>
  <si>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</si>
  <si>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</si>
  <si>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</si>
  <si>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</si>
  <si>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</si>
  <si>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</si>
  <si>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</si>
  <si>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</si>
  <si>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</si>
  <si>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</si>
  <si>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</si>
  <si>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</si>
  <si>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</si>
  <si>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</si>
  <si>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</si>
  <si>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</si>
  <si>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</si>
  <si>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</si>
  <si>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</si>
  <si>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</si>
  <si>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</si>
  <si>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</si>
  <si>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</si>
  <si>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</si>
  <si>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</si>
  <si>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</si>
  <si>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</si>
  <si>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</si>
  <si>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</si>
  <si>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</si>
  <si>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</si>
  <si>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</si>
  <si>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</si>
  <si>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</si>
  <si>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</si>
  <si>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</si>
  <si>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</si>
  <si>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</si>
  <si>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</si>
  <si>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</si>
  <si>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</si>
  <si>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</si>
  <si>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</si>
  <si>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</si>
  <si>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</si>
  <si>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</si>
  <si>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</si>
  <si>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</si>
  <si>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</si>
  <si>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</si>
  <si>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</si>
  <si>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</si>
  <si>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</si>
  <si>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</si>
  <si>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</si>
  <si>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</si>
  <si>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</si>
  <si>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</si>
  <si>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</si>
  <si>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</si>
  <si>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</si>
  <si>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</si>
  <si>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</si>
  <si>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</si>
  <si>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</si>
  <si>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</si>
  <si>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</si>
  <si>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</si>
  <si>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</si>
  <si>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</si>
  <si>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</si>
  <si>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</si>
  <si>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</si>
  <si>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</si>
  <si>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</si>
  <si>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</si>
  <si>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</si>
  <si>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</si>
  <si>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</si>
  <si>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</si>
  <si>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</si>
  <si>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</si>
  <si>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</si>
  <si>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</si>
  <si>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</si>
  <si>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</si>
  <si>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</si>
  <si>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</si>
  <si>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</si>
  <si>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</si>
  <si>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</si>
  <si>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</si>
  <si>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</si>
  <si>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</si>
  <si>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</si>
  <si>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</si>
  <si>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</si>
  <si>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</si>
  <si>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</si>
  <si>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</si>
  <si>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</si>
  <si>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</si>
  <si>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</si>
  <si>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</si>
  <si>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</si>
  <si>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</si>
  <si>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</si>
  <si>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</si>
  <si>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</si>
  <si>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</si>
  <si>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</si>
  <si>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</si>
  <si>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</si>
  <si>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</si>
  <si>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</si>
  <si>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</si>
  <si>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</si>
  <si>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</si>
  <si>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</si>
  <si>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</si>
  <si>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</si>
  <si>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</si>
  <si>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</si>
  <si>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</si>
  <si>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</si>
  <si>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</si>
  <si>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</si>
  <si>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</si>
  <si>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</si>
  <si>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</si>
  <si>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</si>
  <si>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</si>
  <si>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</si>
  <si>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</si>
  <si>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</si>
  <si>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</si>
  <si>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</si>
  <si>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</si>
  <si>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</si>
  <si>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</si>
  <si>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</si>
  <si>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</si>
  <si>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</si>
  <si>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</si>
  <si>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</si>
  <si>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</si>
  <si>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</si>
  <si>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</si>
  <si>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</si>
  <si>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</si>
  <si>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</si>
  <si>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</si>
  <si>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</si>
  <si>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</si>
  <si>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</si>
  <si>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</si>
  <si>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</si>
  <si>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</si>
  <si>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</si>
  <si>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</si>
  <si>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</si>
  <si>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</si>
  <si>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</si>
  <si>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</si>
  <si>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</si>
  <si>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</si>
  <si>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</si>
  <si>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</si>
  <si>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</si>
  <si>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</si>
  <si>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</si>
  <si>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</si>
  <si>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</si>
  <si>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</si>
  <si>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</si>
  <si>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</si>
  <si>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</si>
  <si>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</si>
  <si>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</si>
  <si>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</si>
  <si>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</si>
  <si>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</si>
  <si>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</si>
  <si>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</si>
  <si>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</si>
  <si>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</si>
  <si>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</si>
  <si>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</si>
  <si>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</si>
  <si>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</si>
  <si>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</si>
  <si>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</si>
  <si>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</si>
  <si>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</si>
  <si>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</si>
  <si>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</si>
  <si>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</si>
  <si>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</si>
  <si>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</si>
  <si>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</si>
  <si>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</si>
  <si>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</si>
  <si>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</si>
  <si>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</si>
  <si>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</si>
  <si>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</si>
  <si>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</si>
  <si>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</si>
  <si>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</si>
  <si>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</si>
  <si>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</si>
  <si>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</si>
  <si>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</si>
  <si>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</si>
  <si>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</si>
  <si>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</si>
  <si>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</si>
  <si>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</si>
  <si>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</si>
  <si>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</si>
  <si>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</si>
  <si>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</si>
  <si>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</si>
  <si>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</si>
  <si>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</si>
  <si>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</si>
  <si>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</si>
  <si>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</si>
  <si>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</si>
  <si>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</si>
  <si>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</si>
  <si>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</si>
  <si>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</si>
  <si>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</si>
  <si>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</si>
  <si>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</si>
  <si>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</si>
  <si>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</si>
  <si>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</si>
  <si>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</si>
  <si>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</si>
  <si>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</si>
  <si>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</si>
  <si>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</si>
  <si>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</si>
  <si>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</si>
  <si>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</si>
  <si>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</si>
  <si>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</si>
  <si>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</si>
  <si>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</si>
  <si>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</si>
  <si>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</si>
  <si>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</si>
  <si>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</si>
  <si>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</si>
  <si>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</si>
  <si>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</si>
  <si>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</si>
  <si>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</si>
  <si>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</si>
  <si>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</si>
  <si>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</si>
  <si>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</si>
  <si>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</si>
  <si>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</si>
  <si>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</si>
  <si>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</si>
  <si>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</si>
  <si>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</si>
  <si>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</si>
  <si>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</si>
  <si>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</si>
  <si>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</si>
  <si>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</si>
  <si>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</si>
  <si>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</si>
  <si>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</si>
  <si>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</si>
  <si>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</si>
  <si>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</si>
  <si>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</si>
  <si>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</si>
  <si>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</si>
  <si>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</si>
  <si>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</si>
  <si>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</si>
  <si>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</si>
  <si>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</si>
  <si>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</si>
  <si>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</si>
  <si>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</si>
  <si>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</si>
  <si>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</si>
  <si>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</si>
  <si>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</si>
  <si>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</si>
  <si>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</si>
  <si>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</si>
  <si>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</si>
  <si>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</si>
  <si>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</si>
  <si>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</si>
  <si>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</si>
  <si>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</si>
  <si>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</si>
  <si>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</si>
  <si>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</si>
  <si>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</si>
  <si>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</si>
  <si>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</si>
  <si>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</si>
  <si>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</si>
  <si>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</si>
  <si>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</si>
  <si>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</si>
  <si>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</si>
  <si>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</si>
  <si>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</si>
  <si>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</si>
  <si>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</si>
  <si>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</si>
  <si>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</si>
  <si>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</si>
  <si>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</si>
  <si>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</si>
  <si>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</si>
  <si>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</si>
  <si>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</si>
  <si>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</si>
  <si>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</si>
  <si>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</si>
  <si>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</si>
  <si>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</si>
  <si>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</si>
  <si>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</si>
  <si>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</si>
  <si>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</si>
  <si>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</si>
  <si>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</si>
  <si>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</si>
  <si>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</si>
  <si>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</si>
  <si>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</si>
  <si>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</si>
  <si>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</si>
  <si>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</si>
  <si>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</si>
  <si>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</si>
  <si>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</si>
  <si>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</si>
  <si>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</si>
  <si>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</si>
  <si>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</si>
  <si>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</si>
  <si>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</si>
  <si>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</si>
  <si>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</si>
  <si>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</si>
  <si>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</si>
  <si>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</si>
  <si>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</si>
  <si>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</si>
  <si>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</si>
  <si>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</si>
  <si>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</si>
  <si>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</si>
  <si>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</si>
  <si>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</si>
  <si>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</si>
  <si>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</si>
  <si>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</si>
  <si>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</si>
  <si>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</si>
  <si>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</si>
  <si>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</si>
  <si>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</si>
  <si>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</si>
  <si>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</si>
  <si>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</si>
  <si>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</si>
  <si>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</si>
  <si>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</si>
  <si>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</si>
  <si>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</si>
  <si>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</si>
  <si>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</si>
  <si>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</si>
  <si>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</si>
  <si>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</si>
  <si>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</si>
  <si>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</si>
  <si>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</si>
  <si>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</si>
  <si>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</si>
  <si>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</si>
  <si>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</si>
  <si>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</si>
  <si>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</si>
  <si>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</si>
  <si>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</si>
  <si>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</si>
  <si>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</si>
  <si>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</si>
  <si>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</si>
  <si>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</si>
  <si>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</si>
  <si>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</si>
  <si>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</si>
  <si>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</si>
  <si>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</si>
  <si>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</si>
  <si>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</si>
  <si>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</si>
  <si>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</si>
  <si>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</si>
  <si>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</si>
  <si>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</si>
  <si>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</si>
  <si>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</si>
  <si>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</si>
  <si>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</si>
  <si>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</si>
  <si>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</si>
  <si>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</si>
  <si>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</si>
  <si>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</si>
  <si>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</si>
  <si>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</si>
  <si>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</si>
  <si>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</si>
  <si>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</si>
  <si>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</si>
  <si>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</si>
  <si>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</si>
  <si>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</si>
  <si>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</si>
  <si>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</si>
  <si>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</si>
  <si>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</si>
  <si>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</si>
  <si>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</si>
  <si>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</si>
  <si>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</si>
  <si>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</si>
  <si>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</si>
  <si>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</si>
  <si>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</si>
  <si>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</si>
  <si>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</si>
  <si>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</si>
  <si>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</si>
  <si>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</si>
  <si>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</si>
  <si>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</si>
  <si>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</si>
  <si>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</si>
  <si>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</si>
  <si>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</si>
  <si>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</si>
  <si>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</si>
  <si>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</si>
  <si>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</si>
  <si>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</si>
  <si>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</si>
  <si>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</si>
  <si>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</si>
  <si>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</si>
  <si>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</si>
  <si>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</si>
  <si>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</si>
  <si>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</si>
  <si>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</si>
  <si>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</si>
  <si>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</si>
  <si>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</si>
  <si>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</si>
  <si>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</si>
  <si>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</si>
  <si>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</si>
  <si>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</si>
  <si>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</si>
  <si>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</si>
  <si>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</si>
  <si>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</si>
  <si>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</si>
  <si>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</si>
  <si>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</si>
  <si>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</si>
  <si>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</si>
  <si>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</si>
  <si>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</si>
  <si>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</si>
  <si>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</si>
  <si>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</si>
  <si>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</si>
  <si>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</si>
  <si>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</si>
  <si>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</si>
  <si>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</si>
  <si>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</si>
  <si>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</si>
  <si>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</si>
  <si>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</si>
  <si>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</si>
  <si>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</si>
  <si>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</si>
  <si>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</si>
  <si>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</si>
  <si>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</si>
  <si>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</si>
  <si>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</si>
  <si>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</si>
  <si>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</si>
  <si>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</si>
  <si>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</si>
  <si>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</si>
  <si>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</si>
  <si>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</si>
  <si>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</si>
  <si>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</si>
  <si>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</si>
  <si>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</si>
  <si>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</si>
  <si>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</si>
  <si>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</si>
  <si>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</si>
  <si>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</si>
  <si>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</si>
  <si>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</si>
  <si>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</si>
  <si>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</si>
  <si>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</si>
  <si>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</si>
  <si>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</si>
  <si>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</si>
  <si>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</si>
  <si>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</si>
  <si>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</si>
  <si>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</si>
  <si>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</si>
  <si>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</si>
  <si>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</si>
  <si>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</si>
  <si>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</si>
  <si>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</si>
  <si>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</si>
  <si>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</si>
  <si>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</si>
  <si>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</si>
  <si>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</si>
  <si>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</si>
  <si>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</si>
  <si>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</si>
  <si>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</si>
  <si>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</si>
  <si>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</si>
  <si>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</si>
  <si>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</si>
  <si>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</si>
  <si>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</si>
  <si>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</si>
  <si>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</si>
  <si>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</si>
  <si>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</si>
  <si>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</si>
  <si>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</si>
  <si>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</si>
  <si>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</si>
  <si>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</si>
  <si>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</si>
  <si>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</si>
  <si>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</si>
  <si>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</si>
  <si>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</si>
  <si>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</si>
  <si>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</si>
  <si>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</si>
  <si>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</si>
  <si>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</si>
  <si>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</si>
  <si>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</si>
  <si>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</si>
  <si>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</si>
  <si>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</si>
  <si>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</si>
  <si>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</si>
  <si>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</si>
  <si>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</si>
  <si>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</si>
  <si>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</si>
  <si>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</si>
  <si>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</si>
  <si>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</si>
  <si>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</si>
  <si>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</si>
  <si>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</si>
  <si>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</si>
  <si>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</si>
  <si>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</si>
  <si>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</si>
  <si>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</si>
  <si>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</si>
  <si>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</si>
  <si>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</si>
  <si>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</si>
  <si>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</si>
  <si>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</si>
  <si>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</si>
  <si>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</si>
  <si>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</si>
  <si>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</si>
  <si>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</si>
  <si>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</si>
  <si>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</si>
  <si>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</si>
  <si>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</si>
  <si>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</si>
  <si>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</si>
  <si>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</si>
  <si>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</si>
  <si>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</si>
  <si>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</si>
  <si>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</si>
  <si>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</si>
  <si>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</si>
  <si>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</si>
  <si>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</si>
  <si>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</si>
  <si>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</si>
  <si>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</si>
  <si>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</si>
  <si>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</si>
  <si>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</si>
  <si>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</si>
  <si>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</si>
  <si>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</si>
  <si>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</si>
  <si>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</si>
  <si>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</si>
  <si>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</si>
  <si>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</si>
  <si>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</si>
  <si>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</si>
  <si>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</si>
  <si>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</si>
  <si>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</si>
  <si>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</si>
  <si>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</si>
  <si>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</si>
  <si>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</si>
  <si>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</si>
  <si>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</si>
  <si>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</si>
  <si>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</si>
  <si>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</si>
  <si>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</si>
  <si>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</si>
  <si>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</si>
  <si>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</si>
  <si>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</si>
  <si>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</si>
  <si>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</si>
  <si>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</si>
  <si>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</si>
  <si>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</si>
  <si>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</si>
  <si>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</si>
  <si>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</si>
  <si>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</si>
  <si>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</si>
  <si>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</si>
  <si>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</si>
  <si>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</si>
  <si>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</si>
  <si>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</si>
  <si>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</si>
  <si>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</si>
  <si>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</si>
  <si>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</si>
  <si>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</si>
  <si>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</si>
  <si>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</si>
  <si>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</si>
  <si>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</si>
  <si>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</si>
  <si>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</si>
  <si>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</si>
  <si>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</si>
  <si>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</si>
  <si>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</si>
  <si>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</si>
  <si>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</si>
  <si>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</si>
  <si>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</si>
  <si>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</si>
  <si>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</si>
  <si>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</si>
  <si>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</si>
  <si>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</si>
  <si>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</si>
  <si>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</si>
  <si>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</si>
  <si>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</si>
  <si>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</si>
  <si>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</si>
  <si>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</si>
  <si>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</si>
  <si>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</si>
  <si>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</si>
  <si>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</si>
  <si>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</si>
  <si>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</si>
  <si>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</si>
  <si>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</si>
  <si>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</si>
  <si>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</si>
  <si>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</si>
  <si>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</si>
  <si>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</si>
  <si>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</si>
  <si>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</si>
  <si>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</si>
  <si>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</si>
  <si>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</si>
  <si>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</si>
  <si>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</si>
  <si>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</si>
  <si>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</si>
  <si>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</si>
  <si>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</si>
  <si>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</si>
  <si>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</si>
  <si>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</si>
  <si>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</si>
  <si>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</si>
  <si>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</si>
  <si>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</si>
  <si>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</si>
  <si>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</si>
  <si>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</si>
  <si>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</si>
  <si>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</si>
  <si>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</si>
  <si>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</si>
  <si>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</si>
  <si>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</si>
  <si>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</si>
  <si>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</si>
  <si>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</si>
  <si>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</si>
  <si>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</si>
  <si>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</si>
  <si>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</si>
  <si>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</si>
  <si>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</si>
  <si>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</si>
  <si>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</si>
  <si>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</si>
  <si>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</si>
  <si>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</si>
  <si>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</si>
  <si>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</si>
  <si>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</si>
  <si>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</si>
  <si>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</si>
  <si>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</si>
  <si>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</si>
  <si>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</si>
  <si>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</si>
  <si>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</si>
  <si>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</si>
  <si>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</si>
  <si>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</si>
  <si>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</si>
  <si>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</si>
  <si>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</si>
  <si>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</si>
  <si>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</si>
  <si>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</si>
  <si>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</si>
  <si>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</si>
  <si>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</si>
  <si>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</si>
  <si>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</si>
  <si>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</si>
  <si>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</si>
  <si>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</si>
  <si>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</si>
  <si>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</si>
  <si>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</si>
  <si>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</si>
  <si>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</si>
  <si>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</si>
  <si>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</si>
  <si>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</si>
  <si>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</si>
  <si>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</si>
  <si>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</si>
  <si>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</si>
  <si>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</si>
  <si>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</si>
  <si>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</si>
  <si>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</si>
  <si>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</si>
  <si>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</si>
  <si>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</si>
  <si>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</si>
  <si>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</si>
  <si>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</si>
  <si>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</si>
  <si>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</si>
  <si>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</si>
  <si>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</si>
  <si>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</si>
  <si>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</si>
  <si>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</si>
  <si>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</si>
  <si>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</si>
  <si>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</si>
  <si>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</si>
  <si>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</si>
  <si>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</si>
  <si>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</si>
  <si>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</si>
  <si>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</si>
  <si>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</si>
  <si>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</si>
  <si>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</si>
  <si>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</si>
  <si>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</si>
  <si>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</si>
  <si>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</si>
  <si>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</si>
  <si>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</si>
  <si>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</si>
  <si>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</si>
  <si>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</si>
  <si>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</si>
  <si>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</si>
  <si>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</si>
  <si>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</si>
  <si>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</si>
  <si>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</si>
  <si>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</si>
  <si>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</si>
  <si>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</si>
  <si>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</si>
  <si>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</si>
  <si>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</si>
  <si>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</si>
  <si>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</si>
  <si>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</si>
  <si>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</si>
  <si>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</si>
  <si>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</si>
  <si>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</si>
  <si>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</si>
  <si>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</si>
  <si>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</si>
  <si>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</si>
  <si>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</si>
  <si>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</si>
  <si>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</si>
  <si>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</si>
  <si>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</si>
  <si>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</si>
  <si>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</si>
  <si>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</si>
  <si>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</si>
  <si>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</si>
  <si>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</si>
  <si>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</si>
  <si>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</si>
  <si>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</si>
  <si>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</si>
  <si>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</si>
  <si>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</si>
  <si>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</si>
  <si>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</si>
  <si>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</si>
  <si>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</si>
  <si>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</si>
  <si>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</si>
  <si>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</si>
  <si>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</si>
  <si>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</si>
  <si>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</si>
  <si>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</si>
  <si>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</si>
  <si>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</si>
  <si>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</si>
  <si>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</si>
  <si>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</si>
  <si>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</si>
  <si>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</si>
  <si>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</si>
  <si>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</si>
  <si>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</si>
  <si>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</si>
  <si>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</si>
  <si>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</si>
  <si>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</si>
  <si>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</si>
  <si>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</si>
  <si>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</si>
  <si>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</si>
  <si>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</si>
  <si>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</si>
  <si>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</si>
  <si>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</si>
  <si>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</si>
  <si>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</si>
  <si>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</si>
  <si>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</si>
  <si>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</si>
  <si>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</si>
  <si>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</si>
  <si>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</si>
  <si>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</si>
  <si>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</si>
  <si>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</si>
  <si>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</si>
  <si>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</si>
  <si>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</si>
  <si>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</si>
  <si>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</si>
  <si>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</si>
  <si>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</si>
  <si>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</si>
  <si>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</si>
  <si>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</si>
  <si>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</si>
  <si>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</si>
  <si>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</si>
  <si>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</si>
  <si>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</si>
  <si>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</si>
  <si>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</si>
  <si>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</si>
  <si>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</si>
  <si>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</si>
  <si>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</si>
  <si>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</si>
  <si>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</si>
  <si>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</si>
  <si>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</si>
  <si>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</si>
  <si>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</si>
  <si>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</si>
  <si>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</si>
  <si>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</si>
  <si>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</si>
  <si>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</si>
  <si>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</si>
  <si>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</si>
  <si>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</si>
  <si>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</si>
  <si>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</si>
  <si>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</si>
  <si>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</si>
  <si>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</si>
  <si>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</si>
  <si>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</si>
  <si>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</si>
  <si>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</si>
  <si>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</si>
  <si>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</si>
  <si>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</si>
  <si>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</si>
  <si>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</si>
  <si>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</si>
  <si>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</si>
  <si>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</si>
  <si>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</si>
  <si>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</si>
  <si>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</si>
  <si>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</si>
  <si>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</si>
  <si>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</si>
  <si>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</si>
  <si>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</si>
  <si>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</si>
  <si>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</si>
  <si>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</si>
  <si>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</si>
  <si>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</si>
  <si>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</si>
  <si>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</si>
  <si>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</si>
  <si>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</si>
  <si>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</si>
  <si>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</si>
  <si>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</si>
  <si>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</si>
  <si>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</si>
  <si>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</si>
  <si>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</si>
  <si>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</si>
  <si>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</si>
  <si>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</si>
  <si>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</si>
  <si>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</si>
  <si>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</si>
  <si>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</si>
  <si>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</si>
  <si>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</si>
  <si>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</si>
  <si>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</si>
  <si>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</si>
  <si>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</si>
  <si>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</si>
  <si>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</si>
  <si>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</si>
  <si>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</si>
  <si>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</si>
  <si>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</si>
  <si>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</si>
  <si>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</si>
  <si>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</si>
  <si>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</si>
  <si>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</si>
  <si>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</si>
  <si>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</si>
  <si>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</si>
  <si>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</si>
  <si>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</si>
  <si>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</si>
  <si>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</si>
  <si>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</si>
  <si>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</si>
  <si>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</si>
  <si>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</si>
  <si>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</si>
  <si>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</si>
  <si>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</si>
  <si>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</si>
  <si>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</si>
  <si>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</si>
  <si>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</si>
  <si>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</si>
  <si>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</si>
  <si>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</si>
  <si>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</si>
  <si>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</si>
  <si>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</si>
  <si>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</si>
  <si>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</si>
  <si>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</si>
  <si>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</si>
  <si>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</si>
  <si>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</si>
  <si>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</si>
  <si>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</si>
  <si>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</si>
  <si>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</si>
  <si>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</si>
  <si>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</si>
  <si>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</si>
  <si>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</si>
  <si>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</si>
  <si>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</si>
  <si>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</si>
  <si>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</si>
  <si>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</si>
  <si>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</si>
  <si>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</si>
  <si>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</si>
  <si>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</si>
  <si>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</si>
  <si>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</si>
  <si>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</si>
  <si>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</si>
  <si>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</si>
  <si>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</si>
  <si>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</si>
  <si>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</si>
  <si>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</si>
  <si>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</si>
  <si>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</si>
  <si>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</si>
  <si>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</si>
  <si>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</si>
  <si>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</si>
  <si>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</si>
  <si>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</si>
  <si>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</si>
  <si>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</si>
  <si>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</si>
  <si>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</si>
  <si>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</si>
  <si>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</si>
  <si>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</si>
  <si>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</si>
  <si>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</si>
  <si>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</si>
  <si>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</si>
  <si>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</si>
  <si>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</si>
  <si>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</si>
  <si>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</si>
  <si>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</si>
  <si>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</si>
  <si>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</si>
  <si>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</si>
  <si>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</si>
  <si>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</si>
  <si>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</si>
  <si>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</si>
  <si>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</si>
  <si>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</si>
  <si>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</si>
  <si>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</si>
  <si>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</si>
  <si>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</si>
  <si>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</si>
  <si>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</si>
  <si>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</si>
  <si>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</si>
  <si>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</si>
  <si>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</si>
  <si>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</si>
  <si>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</si>
  <si>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</si>
  <si>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</si>
  <si>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</si>
  <si>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</si>
  <si>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</si>
  <si>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</si>
  <si>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</si>
  <si>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</si>
  <si>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</si>
  <si>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</si>
  <si>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</si>
  <si>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</si>
  <si>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</si>
  <si>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</si>
  <si>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</si>
  <si>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</si>
  <si>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</si>
  <si>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</si>
  <si>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</si>
  <si>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</si>
  <si>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</si>
  <si>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</si>
  <si>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</si>
  <si>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</si>
  <si>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</si>
  <si>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</si>
  <si>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</si>
  <si>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</si>
  <si>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</si>
  <si>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</si>
  <si>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</si>
  <si>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</si>
  <si>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</si>
  <si>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</si>
  <si>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</si>
  <si>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</si>
  <si>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</si>
  <si>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</si>
  <si>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</si>
  <si>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</si>
  <si>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</si>
  <si>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</si>
  <si>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</si>
  <si>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</si>
  <si>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</si>
  <si>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</si>
  <si>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</si>
  <si>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</si>
  <si>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</si>
  <si>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</si>
  <si>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</si>
  <si>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</si>
  <si>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</si>
  <si>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</si>
  <si>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</si>
  <si>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</si>
  <si>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</si>
  <si>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</si>
  <si>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</si>
  <si>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</si>
  <si>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</si>
  <si>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</si>
  <si>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</si>
  <si>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</si>
  <si>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</si>
  <si>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</si>
  <si>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</si>
  <si>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</si>
  <si>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</si>
  <si>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</si>
  <si>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</si>
  <si>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</si>
  <si>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</si>
  <si>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</si>
  <si>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</si>
  <si>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</si>
  <si>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</si>
  <si>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</si>
  <si>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</si>
  <si>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</si>
  <si>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</si>
  <si>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</si>
  <si>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</si>
  <si>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</si>
  <si>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</si>
  <si>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</si>
  <si>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</si>
  <si>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</si>
  <si>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</si>
  <si>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</si>
  <si>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</si>
  <si>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</si>
  <si>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</si>
  <si>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</si>
  <si>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</si>
  <si>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</si>
  <si>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</si>
  <si>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</si>
  <si>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</si>
  <si>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</si>
  <si>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</si>
  <si>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</si>
  <si>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</si>
  <si>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</si>
  <si>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</si>
  <si>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</si>
  <si>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</si>
  <si>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</si>
  <si>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</si>
  <si>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</si>
  <si>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</si>
  <si>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</si>
  <si>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</si>
  <si>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</si>
  <si>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</si>
  <si>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</si>
  <si>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</si>
  <si>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</si>
  <si>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</si>
  <si>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</si>
  <si>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</si>
  <si>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</si>
  <si>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</si>
  <si>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</si>
  <si>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</si>
  <si>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</si>
  <si>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</si>
  <si>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</si>
  <si>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</si>
  <si>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</si>
  <si>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</si>
  <si>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</si>
  <si>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</si>
  <si>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</si>
  <si>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</si>
  <si>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</si>
  <si>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</si>
  <si>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</si>
  <si>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</si>
  <si>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</si>
  <si>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</si>
  <si>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</si>
  <si>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</si>
  <si>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</si>
  <si>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</si>
  <si>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</si>
  <si>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</si>
  <si>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</si>
  <si>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</si>
  <si>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</si>
  <si>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</si>
  <si>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</si>
  <si>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</si>
  <si>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</si>
  <si>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</si>
  <si>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</si>
  <si>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</si>
  <si>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</si>
  <si>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</si>
  <si>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</si>
  <si>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</si>
  <si>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</si>
  <si>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</si>
  <si>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</si>
  <si>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</si>
  <si>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</si>
  <si>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</si>
  <si>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</si>
  <si>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</si>
  <si>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</si>
  <si>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</si>
  <si>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</si>
  <si>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</si>
  <si>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</si>
  <si>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</si>
  <si>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</si>
  <si>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</si>
  <si>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1层</t>
    <phoneticPr fontId="134" type="noConversion"/>
  </si>
  <si>
    <t>4层</t>
    <phoneticPr fontId="134" type="noConversion"/>
  </si>
  <si>
    <t>是</t>
  </si>
  <si>
    <t>地上</t>
  </si>
  <si>
    <t>办公</t>
    <phoneticPr fontId="7" type="noConversion"/>
  </si>
  <si>
    <t>商业</t>
    <phoneticPr fontId="7" type="noConversion"/>
  </si>
  <si>
    <t>成新度</t>
  </si>
  <si>
    <t>押一</t>
  </si>
  <si>
    <t>钢混</t>
  </si>
  <si>
    <t>非生产用房</t>
  </si>
  <si>
    <t>否</t>
  </si>
  <si>
    <t>收益法-商业</t>
  </si>
  <si>
    <t>收益法-商业</t>
    <phoneticPr fontId="16" type="noConversion"/>
  </si>
  <si>
    <t>成本法</t>
  </si>
  <si>
    <t>收益法</t>
  </si>
  <si>
    <t>利息：取LPR加浮动点数</t>
  </si>
  <si>
    <t>商务金融用地</t>
  </si>
  <si>
    <t>估价对象容积率</t>
  </si>
  <si>
    <t>与级别开发程度不一致</t>
  </si>
  <si>
    <t>通路</t>
  </si>
  <si>
    <t>通电</t>
  </si>
  <si>
    <t>通讯</t>
  </si>
  <si>
    <t>通上水</t>
  </si>
  <si>
    <t>通下水</t>
  </si>
  <si>
    <t>平整</t>
  </si>
  <si>
    <t>中心城区以外</t>
  </si>
  <si>
    <t>不临65条商业街</t>
  </si>
  <si>
    <t>一般</t>
  </si>
  <si>
    <t>较好</t>
  </si>
  <si>
    <t>好</t>
  </si>
  <si>
    <t>楼层修正</t>
  </si>
  <si>
    <t>未包含在土地购买价格中</t>
  </si>
  <si>
    <t>全部缴纳</t>
  </si>
  <si>
    <t>已包含在土地取得成本中</t>
  </si>
  <si>
    <t>成本法-商业</t>
  </si>
  <si>
    <t>成本法-商业</t>
    <phoneticPr fontId="16" type="noConversion"/>
  </si>
  <si>
    <t>总价</t>
  </si>
  <si>
    <t>总价</t>
    <phoneticPr fontId="134" type="noConversion"/>
  </si>
  <si>
    <t>单价</t>
    <phoneticPr fontId="134" type="noConversion"/>
  </si>
  <si>
    <t>6层</t>
    <phoneticPr fontId="134" type="noConversion"/>
  </si>
  <si>
    <t>成本比率</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</si>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</sst>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估价对象为北京市房地产，为所有。根据《国有土地使用证》[]，估价对象（分摊）出让国有建设用地使用权面积为0平方米，建筑面积为5033.37平方米。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估价对象为北京市房地产,属开发建设的，该项目尚在开发建设中。根据《国有土地使用证》[]，估价对象（分摊）出让国有建设用地使用权面积为0平方米，规划建筑面积为5033.37平方米。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2023年1月17日</v>
      </c>
    </row>
    <row r="13" spans="1:2" s="1203" customFormat="1">
      <c r="A13" s="1201" t="s">
        <v>529</v>
      </c>
      <c r="B13" s="1202"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4706</v>
      </c>
    </row>
    <row r="21" spans="1:2" s="1203" customFormat="1">
      <c r="A21" s="1201" t="s">
        <v>537</v>
      </c>
      <c r="B21" s="1202">
        <f ca="1">'预评函-2'!D7</f>
        <v>15594</v>
      </c>
    </row>
    <row r="22" spans="1:2" s="1203" customFormat="1">
      <c r="A22" s="1201" t="s">
        <v>538</v>
      </c>
      <c r="B22" s="1202" t="str">
        <f ca="1">'预评函-2'!D6</f>
        <v>肆仟柒佰零陆万元整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4706</v>
      </c>
    </row>
    <row r="31" spans="1:2" s="1203" customFormat="1">
      <c r="A31" s="1201" t="s">
        <v>576</v>
      </c>
      <c r="B31" s="1202">
        <f ca="1">'预评函-2'!D15</f>
        <v>15594</v>
      </c>
    </row>
    <row r="32" spans="1:2" s="1203" customFormat="1">
      <c r="A32" s="1201" t="s">
        <v>543</v>
      </c>
      <c r="B32" s="1202" t="str">
        <f ca="1">'预评函-2'!D14</f>
        <v>肆仟柒佰零陆万元整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5033.37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3299</v>
      </c>
    </row>
    <row r="48" spans="1:2" s="1203" customFormat="1">
      <c r="A48" s="1201" t="s">
        <v>549</v>
      </c>
      <c r="B48" s="1202">
        <f ca="1">'预评函-3'!E4</f>
        <v>10932</v>
      </c>
    </row>
    <row r="49" spans="1:2" s="1203" customFormat="1">
      <c r="A49" s="1201" t="s">
        <v>550</v>
      </c>
      <c r="B49" s="1202" t="str">
        <f ca="1">'预评函-3'!D5</f>
        <v>叁仟贰佰玖拾玖万元整</v>
      </c>
    </row>
    <row r="50" spans="1:2" s="1203" customFormat="1">
      <c r="A50" s="1201" t="s">
        <v>574</v>
      </c>
      <c r="B50" s="1202" t="str">
        <f>'预评函-3'!F2</f>
        <v>在建建筑物价值</v>
      </c>
    </row>
    <row r="51" spans="1:2" s="1203" customFormat="1">
      <c r="A51" s="1201" t="s">
        <v>551</v>
      </c>
      <c r="B51" s="1202">
        <f ca="1">'预评函-3'!F4</f>
        <v>1407</v>
      </c>
    </row>
    <row r="52" spans="1:2" s="1203" customFormat="1">
      <c r="A52" s="1201" t="s">
        <v>552</v>
      </c>
      <c r="B52" s="1202">
        <f ca="1">'预评函-3'!G4</f>
        <v>4662</v>
      </c>
    </row>
    <row r="53" spans="1:2" s="1203" customFormat="1">
      <c r="A53" s="1201" t="s">
        <v>580</v>
      </c>
      <c r="B53" s="1202" t="str">
        <f ca="1">'预评函-3'!F5</f>
        <v>壹仟肆佰零柒万元整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3394</v>
      </c>
      <c r="C19" s="1547"/>
    </row>
    <row r="20" spans="1:3">
      <c r="A20" s="1546" t="s">
        <v>1048</v>
      </c>
      <c r="B20" s="1546" t="s">
        <v>3417</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24" t="s">
        <v>2583</v>
      </c>
      <c r="J2" s="3524"/>
      <c r="K2" s="3524"/>
      <c r="L2" s="3524"/>
      <c r="M2" s="3524"/>
      <c r="N2" s="3524"/>
      <c r="O2" s="3524"/>
      <c r="P2" s="3524"/>
      <c r="Q2" s="3524"/>
      <c r="R2" s="3524"/>
    </row>
    <row r="3" spans="1:18">
      <c r="A3" s="3020" t="s">
        <v>2504</v>
      </c>
      <c r="B3" s="3021">
        <f>项目基本情况!D3</f>
        <v>44943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3.92</v>
      </c>
      <c r="D5" s="3025">
        <f>IF(ISERROR(ROUND(POWER(1+E5,A5-C5)*(POWER(1+E5,C5)-1)/(POWER(1+E5,A5)-1),3)),0,ROUND(POWER(1+E5,A5-C5)*(POWER(1+E5,C5)-1)/(POWER(1+E5,A5)-1),4))</f>
        <v>0.18</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13.93</v>
      </c>
      <c r="D6" s="3025">
        <f>IF(ISERROR(ROUND(POWER(1+E6,A6-C6)*(POWER(1+E6,C6)-1)/(POWER(1+E6,A6)-1),3)),0,ROUND(POWER(1+E6,A6-C6)*(POWER(1+E6,C6)-1)/(POWER(1+E6,A6)-1),4))</f>
        <v>0.4899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33.94</v>
      </c>
      <c r="D7" s="3025">
        <f>IF(ISERROR(ROUND(POWER(1+E7,A7-C7)*(POWER(1+E7,C7)-1)/(POWER(1+E7,A7)-1),3)),0,ROUND(POWER(1+E7,A7-C7)*(POWER(1+E7,C7)-1)/(POWER(1+E7,A7)-1),4))</f>
        <v>0.7863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6" sqref="J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36"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3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56129</v>
      </c>
      <c r="E13" s="856">
        <v>59781</v>
      </c>
      <c r="F13" s="856"/>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30.64</v>
      </c>
      <c r="E15" s="2410">
        <f>IF(A13="出让",IF(E13="","",ROUNDDOWN(MIN((E13-$D$3)/365,E14),2)),E14)</f>
        <v>40.65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3"/>
      <c r="C16" s="3544"/>
      <c r="D16" s="3545"/>
      <c r="E16" s="2413" t="s">
        <v>2194</v>
      </c>
      <c r="F16" s="3546"/>
      <c r="G16" s="3547"/>
      <c r="H16" s="3547"/>
      <c r="I16" s="3548"/>
      <c r="J16" s="2439"/>
      <c r="K16" s="2617"/>
      <c r="L16" s="2451"/>
      <c r="M16" s="2451"/>
      <c r="N16" s="2509"/>
      <c r="O16" s="2451"/>
      <c r="P16" s="2509"/>
      <c r="Q16" s="2439"/>
      <c r="R16" s="2439"/>
    </row>
    <row r="17" spans="1:28">
      <c r="A17" s="313" t="s">
        <v>2195</v>
      </c>
      <c r="B17" s="302" t="s">
        <v>2196</v>
      </c>
      <c r="C17" s="8">
        <f>'数据-汇总表'!E3</f>
        <v>5033.37</v>
      </c>
      <c r="D17" s="2322" t="s">
        <v>2197</v>
      </c>
      <c r="E17" s="3549" t="s">
        <v>2198</v>
      </c>
      <c r="F17" s="3550"/>
      <c r="G17" s="3550"/>
      <c r="H17" s="3550"/>
      <c r="I17" s="355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2" t="s">
        <v>2202</v>
      </c>
      <c r="F18" s="3553"/>
      <c r="G18" s="3553"/>
      <c r="H18" s="3553"/>
      <c r="I18" s="355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9" t="s">
        <v>2206</v>
      </c>
      <c r="C20" s="3540"/>
      <c r="D20" s="3541" t="s">
        <v>2207</v>
      </c>
      <c r="E20" s="3542"/>
      <c r="F20" s="2647" t="s">
        <v>1056</v>
      </c>
      <c r="G20" s="2664"/>
      <c r="H20" s="2664"/>
      <c r="I20" s="2664"/>
      <c r="J20" s="2439"/>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264</v>
      </c>
      <c r="C38" s="2432" t="s">
        <v>264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5033.37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5033.37</v>
      </c>
      <c r="H5" s="13">
        <f t="shared" ref="H5:AT5" si="0">SUM(H13:H656)</f>
        <v>5033.37</v>
      </c>
      <c r="I5" s="13">
        <f t="shared" si="0"/>
        <v>3017.9</v>
      </c>
      <c r="J5" s="13">
        <f t="shared" si="0"/>
        <v>0</v>
      </c>
      <c r="K5" s="13">
        <f t="shared" si="0"/>
        <v>2015.47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5033.37</v>
      </c>
      <c r="BA5" s="15">
        <f t="shared" si="1"/>
        <v>5033.37</v>
      </c>
      <c r="BB5" s="15">
        <f t="shared" si="1"/>
        <v>3017.9</v>
      </c>
      <c r="BC5" s="15">
        <f t="shared" si="1"/>
        <v>2015.47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5033.37</v>
      </c>
      <c r="H13" s="17">
        <f>SUMIF(I$12:AB$12,"总值",I13:AB13)</f>
        <v>5033.37</v>
      </c>
      <c r="I13" s="1626">
        <f>Sheet1!D5</f>
        <v>3017.9</v>
      </c>
      <c r="J13" s="1626"/>
      <c r="K13" s="1626">
        <f>Sheet1!D4</f>
        <v>2015.47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5033.37</v>
      </c>
      <c r="BA13" s="13">
        <f>SUM(BB13:BK13)</f>
        <v>5033.37</v>
      </c>
      <c r="BB13" s="13">
        <f>IF($D13="是",I13-J13,0)</f>
        <v>3017.9</v>
      </c>
      <c r="BC13" s="13">
        <f>IF($D13="是",K13-L13,0)</f>
        <v>2015.47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7" sqref="J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0</v>
      </c>
      <c r="E3" s="43">
        <f>'数据-基础表'!AZ5</f>
        <v>5033.37</v>
      </c>
      <c r="F3" s="2659"/>
      <c r="G3" s="1145"/>
      <c r="H3" s="1026" t="s">
        <v>1106</v>
      </c>
      <c r="I3" s="855" t="e">
        <f>ROUND('数据-基础表'!B3/'数据-基础表'!A3,2)</f>
        <v>#DIV/0!</v>
      </c>
      <c r="J3" s="2659"/>
      <c r="K3" s="2659"/>
      <c r="L3" s="2659"/>
      <c r="M3" s="2659"/>
      <c r="N3" s="2661"/>
      <c r="O3" s="2659"/>
      <c r="P3" s="2659"/>
    </row>
    <row r="4" spans="1:16" ht="15">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5033.37</v>
      </c>
      <c r="F6" s="2659"/>
      <c r="G6" s="2653" t="s">
        <v>1112</v>
      </c>
      <c r="H6" s="1146" t="s">
        <v>1113</v>
      </c>
      <c r="I6" s="2654" t="e">
        <f>ROUND(F31/D31,2)</f>
        <v>#DIV/0!</v>
      </c>
      <c r="J6" s="2659"/>
      <c r="K6" s="2659"/>
      <c r="L6" s="2659"/>
      <c r="M6" s="2659"/>
      <c r="N6" s="2659"/>
      <c r="O6" s="2659"/>
      <c r="P6" s="2659"/>
    </row>
    <row r="7" spans="1:16" ht="15.75" thickBot="1">
      <c r="A7" s="3561"/>
      <c r="B7" s="3562"/>
      <c r="C7" s="3563"/>
      <c r="D7" s="1641" t="s">
        <v>1107</v>
      </c>
      <c r="E7" s="1645" t="s">
        <v>1114</v>
      </c>
      <c r="F7" s="2659"/>
      <c r="G7" s="2655" t="s">
        <v>1115</v>
      </c>
      <c r="H7" s="2656"/>
      <c r="I7" s="2657">
        <v>2.9</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5033.37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5033.37</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3017.9</v>
      </c>
      <c r="F19" s="2795">
        <f>'数据-基础表'!I13</f>
        <v>3017.9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3017.9</v>
      </c>
    </row>
    <row r="20" spans="1:19">
      <c r="A20" s="1670"/>
      <c r="B20" s="47" t="s">
        <v>1153</v>
      </c>
      <c r="C20" s="3417" t="s">
        <v>3387</v>
      </c>
      <c r="D20" s="45">
        <f t="shared" ref="D20:D26" si="6">ROUND($D$3*E20/$E$3,2)</f>
        <v>0</v>
      </c>
      <c r="E20" s="53">
        <f t="shared" si="1"/>
        <v>2015.47</v>
      </c>
      <c r="F20" s="2795">
        <f>'数据-基础表'!K13</f>
        <v>2015.47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2015.47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5033.37</v>
      </c>
      <c r="F27" s="1140">
        <f>IF(SUM(F19:F26)=E8,SUM(F19:F26),"地上面积有误")</f>
        <v>5033.37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5033.37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5033.37</v>
      </c>
      <c r="F31" s="677">
        <f>F27+F30</f>
        <v>5033.37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K9" sqref="K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59781</v>
      </c>
      <c r="F6" s="64">
        <f>SUMIF(项目基本情况!C$12:I$12,C6,项目基本情况!C$15:I$15)</f>
        <v>40.65</v>
      </c>
      <c r="G6" s="65">
        <f>IF(ISERROR(ROUND(POWER(1+H6,D6-F6)*(POWER(1+H6,F6)-1)/(POWER(1+H6,D6)-1),3)),0,ROUND(POWER(1+H6,D6-F6)*(POWER(1+H6,F6)-1)/(POWER(1+H6,D6)-1),3))</f>
        <v>0.94499999999999995</v>
      </c>
      <c r="H6" s="732">
        <v>0.05</v>
      </c>
      <c r="I6" s="732">
        <v>5.5E-2</v>
      </c>
      <c r="J6" s="66">
        <v>7.0000000000000007E-2</v>
      </c>
      <c r="K6" s="1030">
        <f>SUMIF('数据-汇总表'!C$19:C$33,A6,'数据-汇总表'!E$19:E$33)</f>
        <v>3017.9</v>
      </c>
      <c r="L6" s="733">
        <v>4000</v>
      </c>
      <c r="M6" s="67">
        <f t="shared" ref="M6:M14" si="0">ROUND(K6*L6/10000,0)</f>
        <v>1207</v>
      </c>
      <c r="N6" s="731">
        <f>ROUND(1-(2023-2016)/60,2)</f>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2.5000000000000001E-2</v>
      </c>
      <c r="W6" s="70">
        <v>0.1</v>
      </c>
      <c r="X6" s="1040"/>
      <c r="Y6" s="71">
        <f>N6</f>
        <v>0.88</v>
      </c>
      <c r="Z6" s="72"/>
      <c r="AA6" s="66"/>
      <c r="AB6" s="66"/>
      <c r="AC6" s="1040"/>
      <c r="AD6" s="73"/>
      <c r="AE6" s="1041">
        <f ca="1">IF(AN6="",0,SUMIF(INDIRECT("'"&amp;AN6&amp;"'"&amp;"!E:E"),$AE$5,INDIRECT("'"&amp;AN6&amp;"'"&amp;"!F:F")))</f>
        <v>40.65</v>
      </c>
      <c r="AF6" s="1348"/>
      <c r="AG6" s="138">
        <f>IF(AF6="",0,AE6-AF6)</f>
        <v>0</v>
      </c>
      <c r="AH6" s="74"/>
      <c r="AI6" s="76">
        <v>365</v>
      </c>
      <c r="AJ6" s="77"/>
      <c r="AK6" s="78">
        <v>0.01</v>
      </c>
      <c r="AL6" s="79">
        <v>1E-3</v>
      </c>
      <c r="AM6" s="80">
        <v>0.01</v>
      </c>
      <c r="AN6" s="1715" t="s">
        <v>3396</v>
      </c>
      <c r="AO6" s="52">
        <f ca="1">SUMIF(INDIRECT("'"&amp;AN6&amp;"'"&amp;"!A:A"),"总价",INDIRECT("'"&amp;AN6&amp;"'"&amp;"!B:B"))</f>
        <v>4295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IF(B7="","",SUMIF(项目基本情况!C$12:H$12,C7,项目基本情况!C$13:H$13))</f>
        <v>56129</v>
      </c>
      <c r="F7" s="64">
        <f>SUMIF(项目基本情况!C$12:I$12,C7,项目基本情况!C$15:I$15)</f>
        <v>30.64</v>
      </c>
      <c r="G7" s="65">
        <f t="shared" ref="G7:G11" si="2">IF(ISERROR(ROUND(POWER(1+H7,D7-F7)*(POWER(1+H7,F7)-1)/(POWER(1+H7,D7)-1),3)),0,ROUND(POWER(1+H7,D7-F7)*(POWER(1+H7,F7)-1)/(POWER(1+H7,D7)-1),3))</f>
        <v>0.91300000000000003</v>
      </c>
      <c r="H7" s="732">
        <v>5.5E-2</v>
      </c>
      <c r="I7" s="732">
        <v>0.06</v>
      </c>
      <c r="J7" s="66">
        <v>7.4999999999999997E-2</v>
      </c>
      <c r="K7" s="1030">
        <f>SUMIF('数据-汇总表'!C$19:C$33,A7,'数据-汇总表'!E$19:E$33)</f>
        <v>2015.47</v>
      </c>
      <c r="L7" s="733">
        <v>4000</v>
      </c>
      <c r="M7" s="67">
        <f t="shared" si="0"/>
        <v>806</v>
      </c>
      <c r="N7" s="731">
        <f>N6</f>
        <v>0.88</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3.5</v>
      </c>
      <c r="V7" s="70">
        <v>2.5000000000000001E-2</v>
      </c>
      <c r="W7" s="70">
        <v>0.2</v>
      </c>
      <c r="X7" s="1040"/>
      <c r="Y7" s="71">
        <f>N6</f>
        <v>0.88</v>
      </c>
      <c r="Z7" s="72"/>
      <c r="AA7" s="66"/>
      <c r="AB7" s="66"/>
      <c r="AC7" s="1040"/>
      <c r="AD7" s="73"/>
      <c r="AE7" s="1041">
        <f t="shared" ref="AE7:AE13" ca="1" si="6">IF(AN7="",0,SUMIF(INDIRECT("'"&amp;AN7&amp;"'"&amp;"!E:E"),$AE$5,INDIRECT("'"&amp;AN7&amp;"'"&amp;"!F:F")))</f>
        <v>30.64</v>
      </c>
      <c r="AF7" s="1348"/>
      <c r="AG7" s="138">
        <f t="shared" ref="AG7:AG13" si="7">IF(AF7="",0,AE7-AF7)</f>
        <v>0</v>
      </c>
      <c r="AH7" s="74"/>
      <c r="AI7" s="76">
        <v>365</v>
      </c>
      <c r="AJ7" s="77"/>
      <c r="AK7" s="78">
        <v>0.01</v>
      </c>
      <c r="AL7" s="79">
        <v>1E-3</v>
      </c>
      <c r="AM7" s="80">
        <v>0.01</v>
      </c>
      <c r="AN7" s="1715" t="s">
        <v>3393</v>
      </c>
      <c r="AO7" s="52">
        <f t="shared" ref="AO7:AO13" ca="1" si="8">SUMIF(INDIRECT("'"&amp;AN7&amp;"'"&amp;"!A:A"),"总价",INDIRECT("'"&amp;AN7&amp;"'"&amp;"!B:B"))</f>
        <v>2910</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5.1999999999999998E-2</v>
      </c>
      <c r="I16" s="91"/>
      <c r="J16" s="91"/>
      <c r="K16" s="92">
        <f>SUM(K6:K15)</f>
        <v>5033.37</v>
      </c>
      <c r="L16" s="93">
        <f>ROUND(M16*10000/SUM(K6:K14),0)</f>
        <v>3999</v>
      </c>
      <c r="M16" s="93">
        <f>SUM(M6:M14)</f>
        <v>2013</v>
      </c>
      <c r="N16" s="94">
        <f>ROUND(SUMPRODUCT(M6:M14,N6:N14)/M16,3)</f>
        <v>0.88</v>
      </c>
      <c r="O16" s="93">
        <f>SUM(O6:O14)</f>
        <v>0</v>
      </c>
      <c r="P16" s="93">
        <f>SUM(P6:P14)</f>
        <v>0</v>
      </c>
      <c r="Q16" s="95">
        <f>ROUND(SUMPRODUCT(Q6:Q13,K6:K13)/SUMPRODUCT((Q6:Q13&gt;0)*(K6:K13)),2)</f>
        <v>0.17</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zoomScale="80" zoomScaleNormal="80" zoomScaleSheetLayoutView="80" workbookViewId="0">
      <selection activeCell="A8" sqref="A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5033.37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44943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8362</v>
      </c>
      <c r="C5" s="2512">
        <f ca="1">IF(B5=D14,结果表!H102,ROUND(B5*10000/$B$1,0))</f>
        <v>16613</v>
      </c>
      <c r="D5" s="2512" t="e">
        <f ca="1">ROUND(B5*10000/$B$2,0)</f>
        <v>#DIV/0!</v>
      </c>
      <c r="E5" s="2686"/>
      <c r="F5" s="2687"/>
      <c r="G5" s="2687"/>
      <c r="H5" s="2688"/>
      <c r="I5" s="2688"/>
      <c r="J5" s="2688"/>
      <c r="K5" s="2688"/>
    </row>
    <row r="6" spans="1:11" ht="16.5">
      <c r="A6" s="2512" t="s">
        <v>656</v>
      </c>
      <c r="B6" s="2512">
        <f ca="1">SUM(G14:G23)</f>
        <v>8362</v>
      </c>
      <c r="C6" s="2512">
        <f ca="1">IF(B6=G14,结果表!H108,ROUND(B6*10000/$B$1,0))</f>
        <v>16613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3017.9</v>
      </c>
      <c r="C14" s="2518">
        <f>结果表!C118</f>
        <v>0</v>
      </c>
      <c r="D14" s="2518">
        <f ca="1">结果表!H118</f>
        <v>4706</v>
      </c>
      <c r="E14" s="2518">
        <f ca="1">ROUND(D14*10000/B14,0)</f>
        <v>15594</v>
      </c>
      <c r="F14" s="2518" t="e">
        <f ca="1">ROUND(D14*10000/C14,0)</f>
        <v>#DIV/0!</v>
      </c>
      <c r="G14" s="2518">
        <f ca="1">D14</f>
        <v>4706</v>
      </c>
      <c r="H14" s="2518"/>
      <c r="I14" s="2518"/>
      <c r="J14" s="2687"/>
      <c r="K14" s="2688"/>
    </row>
    <row r="15" spans="1:11" ht="16.5">
      <c r="A15" s="2517" t="s">
        <v>649</v>
      </c>
      <c r="B15" s="2519">
        <f>'结果表-商业'!B118</f>
        <v>2015.47</v>
      </c>
      <c r="C15" s="2519">
        <f>'结果表-商业'!C118</f>
        <v>0</v>
      </c>
      <c r="D15" s="2519">
        <f ca="1">'结果表-商业'!H118</f>
        <v>3656</v>
      </c>
      <c r="E15" s="2518">
        <f t="shared" ref="E15:E23" ca="1" si="0">ROUND(D15*10000/B15,0)</f>
        <v>18140</v>
      </c>
      <c r="F15" s="2518" t="e">
        <f t="shared" ref="F15:F23" ca="1" si="1">ROUND(D15*10000/C15,0)</f>
        <v>#DIV/0!</v>
      </c>
      <c r="G15" s="1331">
        <f ca="1">D15</f>
        <v>3656</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30" spans="1:11">
      <c r="C30" s="2513">
        <v>4015</v>
      </c>
      <c r="D30" s="2513">
        <f ca="1">E14</f>
        <v>15594</v>
      </c>
      <c r="E30" s="2513">
        <f ca="1">ROUND(C30*D30/10000,0)</f>
        <v>6261</v>
      </c>
    </row>
    <row r="31" spans="1:11">
      <c r="C31" s="2513">
        <v>2015</v>
      </c>
      <c r="D31" s="2513">
        <f ca="1">E15</f>
        <v>18140</v>
      </c>
      <c r="E31" s="2513">
        <f ca="1">ROUND(C31*D31/10000,0)</f>
        <v>3655</v>
      </c>
    </row>
    <row r="32" spans="1:11">
      <c r="E32" s="2513">
        <f ca="1">SUM(E30:E31)</f>
        <v>9916</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3395</v>
      </c>
      <c r="D4" s="1756" t="s">
        <v>3396</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573">
        <v>25</v>
      </c>
      <c r="C5" s="3589"/>
      <c r="D5" s="3609"/>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c r="D8" s="3609"/>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c r="D10" s="3609"/>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c r="D12" s="3609"/>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v>5</v>
      </c>
      <c r="D14" s="3609">
        <v>5</v>
      </c>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6" t="s">
        <v>2131</v>
      </c>
      <c r="F18" s="3597"/>
      <c r="G18" s="3597"/>
      <c r="H18" s="3597"/>
      <c r="I18" s="3597"/>
      <c r="K18" s="302" t="s">
        <v>1289</v>
      </c>
      <c r="L18" s="302">
        <f>IF(C1="",'数据-汇总表'!E3,SUMIF(项目类型,C1,'数据-汇总表'!E17:E26)+SUMIF(项目类型,C1,'数据-汇总表'!I17:I26))</f>
        <v>3017.9</v>
      </c>
      <c r="M18" s="302">
        <f>IF(C1="",'数据-汇总表'!E3,SUMIF(项目类型,C1,'数据-汇总表'!E17:E26))</f>
        <v>3017.9</v>
      </c>
    </row>
    <row r="19" spans="1:36" ht="15">
      <c r="A19" s="1761" t="s">
        <v>1290</v>
      </c>
      <c r="B19" s="1762" t="s">
        <v>1291</v>
      </c>
      <c r="C19" s="134">
        <f ca="1">SUMIF(INDIRECT("'"&amp;C4&amp;"'"&amp;"!A:A"),结果表!B19,INDIRECT("'"&amp;C4&amp;"'"&amp;"!B:B"))</f>
        <v>5117</v>
      </c>
      <c r="D19" s="135">
        <f ca="1">SUMIF(INDIRECT("'"&amp;D4&amp;"'"&amp;"!A:A"),结果表!B19,INDIRECT("'"&amp;D4&amp;"'"&amp;"!B:B"))</f>
        <v>4295</v>
      </c>
      <c r="E19" s="1761" t="s">
        <v>1292</v>
      </c>
      <c r="F19" s="1762" t="s">
        <v>1291</v>
      </c>
      <c r="G19" s="136">
        <f ca="1">ROUND(C19*$C$18+D19*$D$18,0)</f>
        <v>4706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16955</v>
      </c>
      <c r="D20" s="138">
        <f ca="1">SUMIF(INDIRECT("'"&amp;D4&amp;"'"&amp;"!A:A"),结果表!B20,INDIRECT("'"&amp;D4&amp;"'"&amp;"!B:B"))</f>
        <v>14232</v>
      </c>
      <c r="E20" s="1764"/>
      <c r="F20" s="1026" t="s">
        <v>1295</v>
      </c>
      <c r="G20" s="139">
        <f ca="1">ROUND(C20*$C$18+D20*$D$18,0)</f>
        <v>15594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0.19138533178114092</v>
      </c>
      <c r="E22" s="129"/>
      <c r="F22" s="129"/>
      <c r="G22" s="129"/>
      <c r="H22" s="129"/>
      <c r="I22" s="129"/>
    </row>
    <row r="23" spans="1:36" ht="13.5" thickBot="1">
      <c r="A23" s="1747"/>
      <c r="B23" s="1747"/>
      <c r="C23" s="1747"/>
      <c r="D23" s="1747"/>
      <c r="E23" s="129"/>
      <c r="F23" s="129"/>
      <c r="G23" s="129"/>
      <c r="H23" s="129"/>
      <c r="I23" s="129"/>
    </row>
    <row r="24" spans="1:36" ht="14.25">
      <c r="A24" s="3580" t="s">
        <v>1299</v>
      </c>
      <c r="B24" s="1762" t="s">
        <v>1291</v>
      </c>
      <c r="C24" s="136">
        <f>IF(B30=0,0,D30)</f>
        <v>0</v>
      </c>
      <c r="D24" s="1769"/>
      <c r="E24" s="129"/>
      <c r="F24" s="129"/>
      <c r="G24" s="129"/>
      <c r="H24" s="129"/>
      <c r="I24" s="129"/>
    </row>
    <row r="25" spans="1:36" ht="14.25">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4706</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3299</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1407</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f ca="1">ROUND(H101*F45,0)</f>
        <v>4706</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44943</v>
      </c>
      <c r="N47" s="3657"/>
      <c r="O47" s="3657"/>
    </row>
    <row r="48" spans="1:15" ht="25.5">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6" t="s">
        <v>1340</v>
      </c>
      <c r="L48" s="3636"/>
      <c r="M48" s="3658">
        <f ca="1">H101</f>
        <v>4706</v>
      </c>
      <c r="N48" s="3658"/>
      <c r="O48" s="3658"/>
    </row>
    <row r="49" spans="1:35" ht="25.5" customHeight="1">
      <c r="A49" s="2333" t="s">
        <v>1341</v>
      </c>
      <c r="B49" s="3572" t="s">
        <v>1342</v>
      </c>
      <c r="C49" s="3572"/>
      <c r="D49" s="1590">
        <v>0</v>
      </c>
      <c r="E49" s="324" t="s">
        <v>1343</v>
      </c>
      <c r="F49" s="2424" t="s">
        <v>28</v>
      </c>
      <c r="G49" s="3642"/>
      <c r="H49" s="2310" t="s">
        <v>2134</v>
      </c>
      <c r="I49" s="2311"/>
      <c r="J49" s="2523">
        <v>4</v>
      </c>
      <c r="K49" s="3636" t="str">
        <f>IF(项目基本情况!E8="房地产抵押价值","房地产抵押价值","抵押担保权已注销时的房地产抵押价值")</f>
        <v>房地产抵押价值</v>
      </c>
      <c r="L49" s="3636"/>
      <c r="M49" s="3658">
        <f ca="1">IF(项目基本情况!E8="房地产抵押价值",H107,H109)</f>
        <v>4706</v>
      </c>
      <c r="N49" s="3658"/>
      <c r="O49" s="3658"/>
    </row>
    <row r="50" spans="1:35" ht="25.5" customHeight="1">
      <c r="A50" s="2551"/>
      <c r="B50" s="3572" t="s">
        <v>1344</v>
      </c>
      <c r="C50" s="3572"/>
      <c r="D50" s="2552"/>
      <c r="E50" s="332"/>
      <c r="F50" s="2424"/>
      <c r="G50" s="3643"/>
      <c r="H50" s="2312" t="s">
        <v>2135</v>
      </c>
      <c r="I50" s="2311"/>
      <c r="J50" s="3655" t="s">
        <v>1345</v>
      </c>
      <c r="K50" s="3655"/>
      <c r="L50" s="3655"/>
      <c r="M50" s="3655"/>
      <c r="N50" s="3655"/>
      <c r="O50" s="3655"/>
    </row>
    <row r="51" spans="1:35" ht="20.45" customHeight="1">
      <c r="A51" s="2553"/>
      <c r="B51" s="3572" t="s">
        <v>1346</v>
      </c>
      <c r="C51" s="3572"/>
      <c r="D51" s="1087"/>
      <c r="E51" s="327"/>
      <c r="F51" s="2424"/>
      <c r="G51" s="3644"/>
      <c r="H51" s="2312" t="s">
        <v>2136</v>
      </c>
      <c r="I51" s="2311"/>
      <c r="J51" s="2524" t="s">
        <v>1347</v>
      </c>
      <c r="K51" s="3636" t="s">
        <v>1348</v>
      </c>
      <c r="L51" s="3636"/>
      <c r="M51" s="2524" t="s">
        <v>1349</v>
      </c>
      <c r="N51" s="2524" t="s">
        <v>1350</v>
      </c>
      <c r="O51" s="2524" t="s">
        <v>1351</v>
      </c>
    </row>
    <row r="52" spans="1:35" ht="24" customHeight="1">
      <c r="A52" s="2335" t="s">
        <v>1352</v>
      </c>
      <c r="B52" s="3572" t="s">
        <v>1353</v>
      </c>
      <c r="C52" s="3572"/>
      <c r="D52" s="1087">
        <f ca="1">ROUND(D45*'数据-取费表'!B41/(1+'数据-取费表'!C42),0)</f>
        <v>247</v>
      </c>
      <c r="E52" s="2334" t="s">
        <v>1354</v>
      </c>
      <c r="F52" s="2554">
        <f>'数据-取费表'!B41</f>
        <v>5.5000000000000007E-2</v>
      </c>
      <c r="G52" s="2555"/>
      <c r="H52" s="2544"/>
      <c r="I52" s="1807"/>
      <c r="J52" s="2523">
        <v>1</v>
      </c>
      <c r="K52" s="3637" t="s">
        <v>1355</v>
      </c>
      <c r="L52" s="3637"/>
      <c r="M52" s="2525" t="b">
        <f>D48</f>
        <v>0</v>
      </c>
      <c r="N52" s="2523" t="str">
        <f>E48</f>
        <v>销售额×税（费）率</v>
      </c>
      <c r="O52" s="2526">
        <f>F48</f>
        <v>5.5000000000000007E-2</v>
      </c>
    </row>
    <row r="53" spans="1:35" ht="12" customHeight="1">
      <c r="A53" s="2335" t="s">
        <v>1356</v>
      </c>
      <c r="B53" s="3598" t="s">
        <v>2291</v>
      </c>
      <c r="C53" s="3599"/>
      <c r="D53" s="1087">
        <f ca="1">ROUND(D45*'数据-取费表'!B41/(1+'数据-取费表'!C42),0)</f>
        <v>247</v>
      </c>
      <c r="E53" s="2334" t="s">
        <v>1354</v>
      </c>
      <c r="F53" s="2554">
        <f>'数据-取费表'!B41</f>
        <v>5.5000000000000007E-2</v>
      </c>
      <c r="G53" s="2555"/>
      <c r="H53" s="2544"/>
      <c r="I53" s="1807"/>
      <c r="J53" s="2523">
        <v>2</v>
      </c>
      <c r="K53" s="3637" t="s">
        <v>1357</v>
      </c>
      <c r="L53" s="3637"/>
      <c r="M53" s="2525">
        <f t="shared" ref="M53:O54" ca="1" si="0">D55</f>
        <v>2</v>
      </c>
      <c r="N53" s="2523" t="str">
        <f t="shared" si="0"/>
        <v>销售额×税（费）率</v>
      </c>
      <c r="O53" s="2526" t="str">
        <f t="shared" si="0"/>
        <v>免征</v>
      </c>
    </row>
    <row r="54" spans="1:35" ht="12" customHeight="1">
      <c r="A54" s="2335" t="s">
        <v>1358</v>
      </c>
      <c r="B54" s="3598" t="s">
        <v>2292</v>
      </c>
      <c r="C54" s="3599"/>
      <c r="D54" s="1087">
        <f ca="1">C68</f>
        <v>247</v>
      </c>
      <c r="E54" s="327" t="s">
        <v>1359</v>
      </c>
      <c r="F54" s="2554">
        <f>'数据-取费表'!B41</f>
        <v>5.5000000000000007E-2</v>
      </c>
      <c r="G54" s="2555"/>
      <c r="H54" s="2556"/>
      <c r="I54" s="1807"/>
      <c r="J54" s="2523">
        <v>3</v>
      </c>
      <c r="K54" s="3637" t="s">
        <v>1360</v>
      </c>
      <c r="L54" s="3637"/>
      <c r="M54" s="2525">
        <f t="shared" ca="1" si="0"/>
        <v>2668</v>
      </c>
      <c r="N54" s="2523" t="str">
        <f t="shared" si="0"/>
        <v>增值额×税（费）率</v>
      </c>
      <c r="O54" s="2527" t="str">
        <f t="shared" si="0"/>
        <v>免征</v>
      </c>
    </row>
    <row r="55" spans="1:35" ht="24" customHeight="1">
      <c r="A55" s="3587" t="s">
        <v>1361</v>
      </c>
      <c r="B55" s="3588"/>
      <c r="C55" s="3588"/>
      <c r="D55" s="2324">
        <f ca="1">IF(H55="个人住宅",0,ROUND(D45*I55,0))</f>
        <v>2</v>
      </c>
      <c r="E55" s="2334" t="s">
        <v>1362</v>
      </c>
      <c r="F55" s="2554" t="str">
        <f>IF(H55="正常",I55,"免征")</f>
        <v>免征</v>
      </c>
      <c r="G55" s="2555"/>
      <c r="H55" s="2550"/>
      <c r="I55" s="165">
        <f>'数据-取费表'!B49</f>
        <v>5.0000000000000001E-4</v>
      </c>
      <c r="J55" s="2523">
        <f>IF(H59="非个人房产","",4)</f>
        <v>4</v>
      </c>
      <c r="K55" s="3637" t="str">
        <f>IF(H59="非个人房产","——","个人所得税")</f>
        <v>个人所得税</v>
      </c>
      <c r="L55" s="3637"/>
      <c r="M55" s="2528">
        <f ca="1">D59</f>
        <v>45</v>
      </c>
      <c r="N55" s="2040" t="str">
        <f>E59</f>
        <v>差额计税</v>
      </c>
      <c r="O55" s="2529">
        <f>F59</f>
        <v>0.01</v>
      </c>
    </row>
    <row r="56" spans="1:35" ht="24.75">
      <c r="A56" s="3587" t="s">
        <v>1363</v>
      </c>
      <c r="B56" s="3588"/>
      <c r="C56" s="3588"/>
      <c r="D56" s="2324">
        <f ca="1">IF(H56="个人住宅",D57,D58)</f>
        <v>2668</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2715</v>
      </c>
      <c r="O57" s="2533"/>
      <c r="P57" s="2690">
        <f ca="1">N57/M49</f>
        <v>0.57692307692307687</v>
      </c>
    </row>
    <row r="58" spans="1:35" ht="24.75">
      <c r="A58" s="2335" t="s">
        <v>1352</v>
      </c>
      <c r="B58" s="3598" t="s">
        <v>1369</v>
      </c>
      <c r="C58" s="3572"/>
      <c r="D58" s="2324">
        <f ca="1">IF(H58="转让取得",C81,C97)</f>
        <v>2668</v>
      </c>
      <c r="E58" s="2334" t="s">
        <v>1364</v>
      </c>
      <c r="F58" s="302" t="s">
        <v>28</v>
      </c>
      <c r="G58" s="2555"/>
      <c r="H58" s="2558"/>
      <c r="I58" s="1808"/>
      <c r="J58" s="3637"/>
      <c r="K58" s="3637"/>
      <c r="L58" s="2530" t="s">
        <v>1370</v>
      </c>
      <c r="M58" s="2534"/>
      <c r="N58" s="2535" t="str">
        <f ca="1">NUMBERSTRING(INT(N57*10000),2)&amp;"元整"</f>
        <v>贰仟柒佰壹拾伍万元整</v>
      </c>
      <c r="O58" s="2536"/>
    </row>
    <row r="59" spans="1:35" ht="24.75" thickBot="1">
      <c r="A59" s="3640" t="s">
        <v>1371</v>
      </c>
      <c r="B59" s="3641"/>
      <c r="C59" s="3641"/>
      <c r="D59" s="2560">
        <f ca="1">IF(H59="非个人房产","——",IF(H59="个人住宅（满五唯一有凭证）",0,IF(H59="个人其他（无凭证）",ROUND(D45*F59,0),ROUND(C67*F59,0))))</f>
        <v>45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2523" t="s">
        <v>1368</v>
      </c>
      <c r="M59" s="2537"/>
      <c r="N59" s="2538">
        <f ca="1">M49-N57</f>
        <v>1991</v>
      </c>
      <c r="O59" s="2539"/>
    </row>
    <row r="60" spans="1:35" ht="12" customHeight="1">
      <c r="A60" s="1809"/>
      <c r="B60" s="1747"/>
      <c r="C60" s="1747"/>
      <c r="D60" s="1747"/>
      <c r="E60" s="1578"/>
      <c r="F60" s="1808"/>
      <c r="G60" s="1808"/>
      <c r="H60" s="1810"/>
      <c r="I60" s="129"/>
      <c r="J60" s="3639"/>
      <c r="K60" s="3637"/>
      <c r="L60" s="2530" t="s">
        <v>1370</v>
      </c>
      <c r="M60" s="2534"/>
      <c r="N60" s="2535" t="str">
        <f ca="1">NUMBERSTRING(INT(N59*10000),2)&amp;"元整"</f>
        <v>壹仟玖佰玖拾壹万元整</v>
      </c>
      <c r="O60" s="2536"/>
    </row>
    <row r="61" spans="1:35" ht="13.5" thickBot="1">
      <c r="A61" s="3585" t="s">
        <v>1373</v>
      </c>
      <c r="B61" s="3585"/>
      <c r="C61" s="3585"/>
      <c r="D61" s="3585"/>
      <c r="E61" s="3585"/>
      <c r="F61" s="1808"/>
      <c r="G61" s="1808"/>
      <c r="H61" s="1810"/>
      <c r="I61" s="129"/>
      <c r="J61" s="2523">
        <f>J59+1</f>
        <v>7</v>
      </c>
      <c r="K61" s="3637" t="s">
        <v>1374</v>
      </c>
      <c r="L61" s="3637"/>
      <c r="M61" s="2540"/>
      <c r="N61" s="2541">
        <f ca="1">ROUND(N59*10000/'数据-汇总表'!E3,0)</f>
        <v>3956</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f ca="1">ROUND((C64+C65)/(1+'数据-取费表'!C42),0)</f>
        <v>4482</v>
      </c>
      <c r="D63" s="167"/>
      <c r="E63" s="168"/>
      <c r="F63" s="1808"/>
      <c r="G63" s="1808"/>
      <c r="H63" s="1810"/>
      <c r="I63" s="129"/>
      <c r="J63" s="3662" t="s">
        <v>1379</v>
      </c>
      <c r="K63" s="1332" t="s">
        <v>1380</v>
      </c>
      <c r="L63" s="1332">
        <f ca="1">IF(M49&gt;10000,M49*0.5%,IF(AND(M49&gt;1000,M49&lt;=10000),M49*1%,IF(AND(M49&gt;100,M49&lt;=1000),M49*3%,IF(AND(M49&gt;10,M49&lt;=100),M49*5%,M49*8%))))</f>
        <v>47.06</v>
      </c>
      <c r="M63" s="302">
        <f ca="1">ROUND(L63,1)</f>
        <v>47.1</v>
      </c>
      <c r="N63" s="2543"/>
      <c r="Z63" s="1752"/>
      <c r="AI63" s="1753"/>
    </row>
    <row r="64" spans="1:35" ht="14.25" customHeight="1">
      <c r="A64" s="169" t="s">
        <v>325</v>
      </c>
      <c r="B64" s="170" t="s">
        <v>1381</v>
      </c>
      <c r="C64" s="2565">
        <f ca="1">D45</f>
        <v>4706</v>
      </c>
      <c r="D64" s="170" t="s">
        <v>26</v>
      </c>
      <c r="E64" s="172"/>
      <c r="F64" s="1808"/>
      <c r="G64" s="1808"/>
      <c r="H64" s="1810"/>
      <c r="I64" s="129"/>
      <c r="J64" s="3662"/>
      <c r="K64" s="1332" t="s">
        <v>1382</v>
      </c>
      <c r="L64" s="1332">
        <f ca="1">IF(M49&gt;2000,M49*0.5%,IF(AND(M49&gt;1000,M49&lt;=2000),M49*0.6%,IF(AND(M49&gt;500,M49&lt;=1000),M49*0.7%,IF(AND(M49&gt;200,M49&lt;=500),M49*0.8%,IF(AND(M49&gt;100,M49&lt;=200),M49*0.9%,IF(AND(M49&gt;50,M49&lt;=100),M49*1%,IF(AND(M49&gt;20,M49&lt;=50),M49*1.5%,IF(AND(M49&gt;10,M49&lt;=20),M49*2%,IF(AND(M49&gt;1,M49&lt;=10),M49*2.5%)))))))))</f>
        <v>23.53</v>
      </c>
      <c r="M64" s="302">
        <f t="shared" ref="M64:M65" ca="1" si="1">ROUND(L64,1)</f>
        <v>23.5</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f ca="1">IF(M49&gt;1000,M49*0.1%,IF(AND(M49&gt;500,M49&lt;=1000),M49*0.5%,IF(AND(M49&gt;50,M49&lt;=500),M49*1%,IF(AND(M49&gt;1,M49&lt;=50),M49*1.5%))))</f>
        <v>4.7060000000000004</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f ca="1">M49*0.5%</f>
        <v>23.53</v>
      </c>
      <c r="M66" s="302">
        <f ca="1">IF(L66&gt;0.5,0.5,ROUND(L66,0))</f>
        <v>0.5</v>
      </c>
      <c r="N66" s="2544" t="s">
        <v>1388</v>
      </c>
      <c r="Z66" s="1752"/>
      <c r="AI66" s="1753"/>
    </row>
    <row r="67" spans="1:35" ht="14.25" customHeight="1">
      <c r="A67" s="173" t="s">
        <v>328</v>
      </c>
      <c r="B67" s="174" t="s">
        <v>1389</v>
      </c>
      <c r="C67" s="2568">
        <f ca="1">C63-C66</f>
        <v>4482</v>
      </c>
      <c r="D67" s="170" t="s">
        <v>26</v>
      </c>
      <c r="E67" s="172"/>
      <c r="F67" s="1808"/>
      <c r="G67" s="1808"/>
      <c r="H67" s="1810"/>
      <c r="I67" s="129"/>
      <c r="J67" s="366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247</v>
      </c>
      <c r="D68" s="2570">
        <f>'数据-取费表'!B41</f>
        <v>5.5000000000000007E-2</v>
      </c>
      <c r="E68" s="178"/>
      <c r="F68" s="1808"/>
      <c r="G68" s="1808"/>
      <c r="H68" s="1810"/>
      <c r="I68" s="129"/>
      <c r="J68" s="3662"/>
      <c r="K68" s="1332" t="s">
        <v>1392</v>
      </c>
      <c r="L68" s="1332">
        <f ca="1">IF(M49&gt;10000,M49*0.5%,IF(AND(M49&gt;5000,M49&lt;=10000),M49*1%,IF(AND(M49&gt;1000,M49&lt;=5000),M49*2%,IF(AND(M49&gt;200,M49&lt;=1000),M49*3%,M49*5%))))</f>
        <v>94.12</v>
      </c>
      <c r="M68" s="302">
        <f ca="1">ROUND(L68,1)</f>
        <v>94.1</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f ca="1">ROUND(SUM(M63:M68),0)</f>
        <v>172</v>
      </c>
      <c r="N69" s="2545">
        <f ca="1">M69/M49</f>
        <v>3.654908627284318E-2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4482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22</v>
      </c>
      <c r="D78" s="2577">
        <f>'数据-取费表'!B43</f>
        <v>5.000000000000001E-3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4460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202.72727272727272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2668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4482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22</v>
      </c>
      <c r="D93" s="2577">
        <f>'数据-取费表'!B43</f>
        <v>5.000000000000001E-3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4460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202.72727272727272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2668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成本法</v>
      </c>
      <c r="D101" s="2586" t="str">
        <f>D4</f>
        <v>收益法</v>
      </c>
      <c r="E101" s="3659" t="s">
        <v>1431</v>
      </c>
      <c r="F101" s="3616"/>
      <c r="G101" s="1827" t="s">
        <v>1432</v>
      </c>
      <c r="H101" s="2595">
        <f ca="1">H118</f>
        <v>4706</v>
      </c>
      <c r="I101" s="129"/>
    </row>
    <row r="102" spans="1:35" ht="18.75" customHeight="1">
      <c r="A102" s="3618" t="s">
        <v>1433</v>
      </c>
      <c r="B102" s="2584" t="s">
        <v>1432</v>
      </c>
      <c r="C102" s="2585">
        <f ca="1">IF(D32="楼面单价",ROUND(C19,0),C19)</f>
        <v>5117</v>
      </c>
      <c r="D102" s="2586">
        <f ca="1">IF(D32="楼面单价",ROUND(D19,0),D19)</f>
        <v>4295</v>
      </c>
      <c r="E102" s="3659"/>
      <c r="F102" s="3616"/>
      <c r="G102" s="1827" t="s">
        <v>1434</v>
      </c>
      <c r="H102" s="2555">
        <f ca="1">I118</f>
        <v>15594</v>
      </c>
      <c r="I102" s="129"/>
    </row>
    <row r="103" spans="1:35" ht="42.75" customHeight="1">
      <c r="A103" s="3618"/>
      <c r="B103" s="2584" t="s">
        <v>1434</v>
      </c>
      <c r="C103" s="2587">
        <f ca="1">C20</f>
        <v>16955</v>
      </c>
      <c r="D103" s="2588">
        <f ca="1">D20</f>
        <v>14232</v>
      </c>
      <c r="E103" s="3653" t="s">
        <v>1435</v>
      </c>
      <c r="F103" s="3654"/>
      <c r="G103" s="1828" t="s">
        <v>1436</v>
      </c>
      <c r="H103" s="2595">
        <f>IF(D36="正常操作",H104+H105+H106,H105+H106)</f>
        <v>0</v>
      </c>
      <c r="I103" s="129"/>
    </row>
    <row r="104" spans="1:35" ht="18.75" customHeight="1">
      <c r="A104" s="3618" t="s">
        <v>1437</v>
      </c>
      <c r="B104" s="2589" t="s">
        <v>1432</v>
      </c>
      <c r="C104" s="2590">
        <f ca="1">H118</f>
        <v>4706</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f ca="1">I118</f>
        <v>15594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f ca="1">IF(E107="——","——",H101-H103)</f>
        <v>4706</v>
      </c>
      <c r="I107" s="129"/>
    </row>
    <row r="108" spans="1:35" ht="18.75" customHeight="1">
      <c r="A108" s="129"/>
      <c r="B108" s="129"/>
      <c r="C108" s="129"/>
      <c r="D108" s="129"/>
      <c r="E108" s="3615"/>
      <c r="F108" s="3616"/>
      <c r="G108" s="1827" t="s">
        <v>1434</v>
      </c>
      <c r="H108" s="2555">
        <f ca="1">IF(H107=H101,H102,ROUND(H107*10000/'数据-汇总表'!E3,0))</f>
        <v>15594</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3017.9</v>
      </c>
      <c r="C118" s="2329">
        <f>M19</f>
        <v>0</v>
      </c>
      <c r="D118" s="2329">
        <f ca="1">ROUND(IF(D32="总价",C34,E118*B118/10000),0)</f>
        <v>3299</v>
      </c>
      <c r="E118" s="2329">
        <f ca="1">ROUND(IF(C33="自定义",IF(D32="楼面单价",C34,D118*10000/B118),I118-G118),0)</f>
        <v>10932</v>
      </c>
      <c r="F118" s="2329">
        <f ca="1">ROUND(IF(D32="总价",C35,G118*B118/10000),0)</f>
        <v>1407</v>
      </c>
      <c r="G118" s="2329">
        <f ca="1">ROUND(IF(D32="楼面单价",C35,F118*10000/B118),0)</f>
        <v>4662</v>
      </c>
      <c r="H118" s="2329">
        <f ca="1">ROUND(IF(D32="总价",C32,I118*B118/10000),0)</f>
        <v>4706</v>
      </c>
      <c r="I118" s="2329">
        <f ca="1">ROUND(IF(D32="楼面单价",C32,H118*10000/B118),0)</f>
        <v>15594</v>
      </c>
    </row>
    <row r="119" spans="1:27" ht="18.75" customHeight="1">
      <c r="A119" s="3586" t="s">
        <v>1452</v>
      </c>
      <c r="B119" s="3586"/>
      <c r="C119" s="3586"/>
      <c r="D119" s="3626" t="str">
        <f ca="1">NUMBERSTRING(INT(D118*10000),2)&amp;"元整"</f>
        <v>叁仟贰佰玖拾玖万元整</v>
      </c>
      <c r="E119" s="3628"/>
      <c r="F119" s="3626" t="str">
        <f ca="1">NUMBERSTRING(INT(F118*10000),2)&amp;"元整"</f>
        <v>壹仟肆佰零柒万元整</v>
      </c>
      <c r="G119" s="3628"/>
      <c r="H119" s="3626" t="str">
        <f ca="1">NUMBERSTRING(INT(H118*10000),2)&amp;"元整"</f>
        <v>肆仟柒佰零陆万元整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4706</v>
      </c>
      <c r="E122" s="3651"/>
      <c r="F122" s="3651"/>
      <c r="G122" s="3651"/>
      <c r="H122" s="3651"/>
      <c r="I122" s="3652"/>
      <c r="AA122" s="725"/>
    </row>
    <row r="123" spans="1:27" ht="18.75" customHeight="1">
      <c r="A123" s="3586" t="s">
        <v>1452</v>
      </c>
      <c r="B123" s="3586"/>
      <c r="C123" s="3586"/>
      <c r="D123" s="3626" t="str">
        <f ca="1">NUMBERSTRING(INT(D122*10000),2)&amp;"元整"</f>
        <v>肆仟柒佰零陆万元整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49" sqref="I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21</v>
      </c>
      <c r="C1" s="198"/>
      <c r="D1" s="198"/>
      <c r="E1" s="198"/>
      <c r="F1" s="198"/>
      <c r="G1" s="1126">
        <f>MATCH(B1,'数据-取费表'!A6:A16,0)+5</f>
        <v>6</v>
      </c>
    </row>
    <row r="2" spans="1:9" s="200" customFormat="1" ht="18" customHeight="1">
      <c r="A2" s="201" t="s">
        <v>1462</v>
      </c>
      <c r="B2" s="202">
        <f ca="1">IF(D2="——",C52,C52-E2)</f>
        <v>5117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16955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2634</v>
      </c>
      <c r="D5" s="211" t="s">
        <v>1469</v>
      </c>
      <c r="E5" s="212" t="s">
        <v>1470</v>
      </c>
      <c r="F5" s="212" t="s">
        <v>1471</v>
      </c>
      <c r="G5" s="213"/>
    </row>
    <row r="6" spans="1:9" s="214" customFormat="1" ht="13.5" customHeight="1">
      <c r="A6" s="778" t="s">
        <v>1472</v>
      </c>
      <c r="B6" s="215" t="s">
        <v>1473</v>
      </c>
      <c r="C6" s="216">
        <f>基准地价修正!B2</f>
        <v>2556</v>
      </c>
      <c r="D6" s="217"/>
      <c r="E6" s="218"/>
      <c r="F6" s="218"/>
      <c r="G6" s="219"/>
    </row>
    <row r="7" spans="1:9" s="214" customFormat="1" ht="13.5" customHeight="1">
      <c r="A7" s="778" t="s">
        <v>1474</v>
      </c>
      <c r="B7" s="215" t="s">
        <v>1475</v>
      </c>
      <c r="C7" s="220">
        <f>ROUND(C6*F7,0)</f>
        <v>78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3017.9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3017.9</v>
      </c>
      <c r="E19" s="211">
        <f>'数据-取费表'!B31</f>
        <v>200</v>
      </c>
      <c r="F19" s="231"/>
      <c r="G19" s="1856" t="s">
        <v>3415</v>
      </c>
    </row>
    <row r="20" spans="1:7" s="214" customFormat="1" ht="13.5" customHeight="1">
      <c r="A20" s="255" t="s">
        <v>1493</v>
      </c>
      <c r="B20" s="210" t="s">
        <v>1494</v>
      </c>
      <c r="C20" s="232">
        <f ca="1">ROUND((C5+C19)*F20,0)</f>
        <v>53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403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403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1207</v>
      </c>
      <c r="D34" s="217"/>
      <c r="E34" s="220"/>
      <c r="F34" s="257">
        <f ca="1">IF('数据-取费表'!B24=0,1,IF(B1="",'数据-取费表'!N16,INDIRECT("'数据-取费表'!n"&amp;$G$1)))</f>
        <v>1</v>
      </c>
      <c r="G34" s="219" t="s">
        <v>1526</v>
      </c>
    </row>
    <row r="35" spans="1:7" ht="13.5" customHeight="1">
      <c r="A35" s="780" t="s">
        <v>351</v>
      </c>
      <c r="B35" s="215" t="s">
        <v>1527</v>
      </c>
      <c r="C35" s="220">
        <f ca="1">ROUND(C34*F35,0)</f>
        <v>36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60</v>
      </c>
      <c r="D37" s="217">
        <f ca="1">D19</f>
        <v>3017.9</v>
      </c>
      <c r="E37" s="249">
        <f>'数据-取费表'!B35</f>
        <v>200</v>
      </c>
      <c r="F37" s="259"/>
      <c r="G37" s="261" t="s">
        <v>1532</v>
      </c>
    </row>
    <row r="38" spans="1:7" ht="13.5" customHeight="1">
      <c r="A38" s="780" t="s">
        <v>354</v>
      </c>
      <c r="B38" s="215" t="s">
        <v>1533</v>
      </c>
      <c r="C38" s="220">
        <f ca="1">ROUND(C34*F38,0)</f>
        <v>18</v>
      </c>
      <c r="D38" s="220"/>
      <c r="E38" s="220"/>
      <c r="F38" s="259">
        <f>'数据-取费表'!B36</f>
        <v>1.4999999999999999E-2</v>
      </c>
      <c r="G38" s="219" t="s">
        <v>1528</v>
      </c>
    </row>
    <row r="39" spans="1:7" s="214" customFormat="1" ht="13.5" customHeight="1">
      <c r="A39" s="255" t="s">
        <v>1534</v>
      </c>
      <c r="B39" s="210" t="s">
        <v>1535</v>
      </c>
      <c r="C39" s="232">
        <f ca="1">ROUND(C33*F20,0)</f>
        <v>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1546</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202</v>
      </c>
      <c r="D45" s="235">
        <f ca="1">C47</f>
        <v>3.0000000000000001E-3</v>
      </c>
      <c r="E45" s="236" t="s">
        <v>1539</v>
      </c>
      <c r="F45" s="246">
        <f ca="1">F27</f>
        <v>0.15</v>
      </c>
      <c r="G45" s="247" t="s">
        <v>1548</v>
      </c>
    </row>
    <row r="46" spans="1:7" s="214" customFormat="1" ht="13.5" customHeight="1">
      <c r="A46" s="780" t="s">
        <v>346</v>
      </c>
      <c r="B46" s="248" t="s">
        <v>1549</v>
      </c>
      <c r="C46" s="249">
        <f ca="1">ROUND((C33+C39)*F27,0)</f>
        <v>202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1737</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1529</v>
      </c>
      <c r="D51" s="232"/>
      <c r="E51" s="232"/>
      <c r="F51" s="264"/>
      <c r="G51" s="234" t="s">
        <v>1560</v>
      </c>
    </row>
    <row r="52" spans="1:7" s="208" customFormat="1" ht="16.5" thickBot="1">
      <c r="A52" s="265" t="s">
        <v>1561</v>
      </c>
      <c r="B52" s="266"/>
      <c r="C52" s="267">
        <f ca="1">C31+C51</f>
        <v>5117</v>
      </c>
      <c r="D52" s="266"/>
      <c r="E52" s="266"/>
      <c r="F52" s="266"/>
      <c r="G52" s="268"/>
    </row>
    <row r="55" spans="1:7" ht="15">
      <c r="B55" s="270" t="s">
        <v>1562</v>
      </c>
      <c r="C55" s="271"/>
    </row>
    <row r="56" spans="1:7">
      <c r="B56" s="273" t="s">
        <v>802</v>
      </c>
      <c r="C56" s="275">
        <f ca="1">1-C57</f>
        <v>0.70100000000000007</v>
      </c>
    </row>
    <row r="57" spans="1:7">
      <c r="B57" s="273" t="s">
        <v>803</v>
      </c>
      <c r="C57" s="274">
        <f ca="1">ROUND(C51/C52,3)</f>
        <v>0.29899999999999999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2735.6959999999999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5033.37</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1006674</v>
      </c>
      <c r="D19" s="849">
        <f ca="1">D9+D10</f>
        <v>5033.37</v>
      </c>
      <c r="E19" s="211">
        <f>'数据-取费表'!B31</f>
        <v>200</v>
      </c>
      <c r="F19" s="231"/>
      <c r="G19" s="1856"/>
    </row>
    <row r="20" spans="1:7" s="214" customFormat="1" ht="13.5" customHeight="1">
      <c r="A20" s="255" t="s">
        <v>1574</v>
      </c>
      <c r="B20" s="210" t="s">
        <v>1575</v>
      </c>
      <c r="C20" s="232">
        <f ca="1">ROUND((C5+C19)*F20,0)</f>
        <v>20133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86124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85288</v>
      </c>
      <c r="D24" s="238"/>
      <c r="E24" s="238"/>
      <c r="F24" s="239"/>
      <c r="G24" s="240" t="s">
        <v>1586</v>
      </c>
    </row>
    <row r="25" spans="1:7" s="214" customFormat="1" ht="24">
      <c r="A25" s="780" t="s">
        <v>1476</v>
      </c>
      <c r="B25" s="215" t="s">
        <v>1587</v>
      </c>
      <c r="C25" s="1128">
        <f ca="1">ROUND(IF('数据-取费表'!B22&lt;=1,C20*F22*'数据-取费表'!B22/2,C20*(POWER((1+F22),'数据-取费表'!B22/2)-1)),0)</f>
        <v>836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174557</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ROUND((C5+C19+C20)*F27,0)</f>
        <v>174557</v>
      </c>
      <c r="D28" s="235"/>
      <c r="E28" s="236"/>
      <c r="F28" s="246"/>
      <c r="G28" s="247"/>
    </row>
    <row r="29" spans="1:7" s="214" customFormat="1" ht="13.5" customHeight="1">
      <c r="A29" s="780" t="s">
        <v>347</v>
      </c>
      <c r="B29" s="248" t="s">
        <v>1517</v>
      </c>
      <c r="C29" s="238">
        <f ca="1">ROUND(C21*F27,4)</f>
        <v>3.3999999999999998E-3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1394291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22046160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20133480</v>
      </c>
      <c r="D34" s="217"/>
      <c r="E34" s="220"/>
      <c r="F34" s="257"/>
      <c r="G34" s="219"/>
    </row>
    <row r="35" spans="1:7" ht="13.5" customHeight="1">
      <c r="A35" s="780" t="s">
        <v>351</v>
      </c>
      <c r="B35" s="215" t="s">
        <v>1527</v>
      </c>
      <c r="C35" s="220">
        <f ca="1">ROUND(C34*F35,0)</f>
        <v>604004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1006674</v>
      </c>
      <c r="D37" s="217">
        <f ca="1">D19</f>
        <v>5033.37</v>
      </c>
      <c r="E37" s="249">
        <f>'数据-取费表'!B35</f>
        <v>200</v>
      </c>
      <c r="F37" s="259"/>
      <c r="G37" s="261"/>
    </row>
    <row r="38" spans="1:7" ht="13.5" customHeight="1">
      <c r="A38" s="780" t="s">
        <v>354</v>
      </c>
      <c r="B38" s="215" t="s">
        <v>1533</v>
      </c>
      <c r="C38" s="220">
        <f ca="1">ROUND(C34*F38,0)</f>
        <v>302002</v>
      </c>
      <c r="D38" s="220"/>
      <c r="E38" s="220"/>
      <c r="F38" s="259">
        <f>'数据-取费表'!B36</f>
        <v>1.4999999999999999E-2</v>
      </c>
      <c r="G38" s="219" t="s">
        <v>1528</v>
      </c>
    </row>
    <row r="39" spans="1:7" s="214" customFormat="1" ht="13.5" customHeight="1">
      <c r="A39" s="255" t="s">
        <v>1534</v>
      </c>
      <c r="B39" s="210" t="s">
        <v>1535</v>
      </c>
      <c r="C39" s="232">
        <f ca="1">ROUND(C33*F20,0)</f>
        <v>440923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933214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914916</v>
      </c>
      <c r="D42" s="238"/>
      <c r="E42" s="238"/>
      <c r="F42" s="239"/>
      <c r="G42" s="3666" t="s">
        <v>1591</v>
      </c>
    </row>
    <row r="43" spans="1:7" ht="13.5" customHeight="1">
      <c r="A43" s="780" t="s">
        <v>347</v>
      </c>
      <c r="B43" s="215" t="s">
        <v>1545</v>
      </c>
      <c r="C43" s="238">
        <f ca="1">ROUND(IF('数据-取费表'!B22&lt;=1,C39*F22*'数据-取费表'!B20/2,C39*(POWER((1+F22),'数据-取费表'!B20/2)-1)),0)</f>
        <v>18298</v>
      </c>
      <c r="D43" s="238"/>
      <c r="E43" s="238"/>
      <c r="F43" s="239"/>
      <c r="G43" s="3667"/>
    </row>
    <row r="44" spans="1:7" ht="13.5" customHeight="1">
      <c r="A44" s="780" t="s">
        <v>348</v>
      </c>
      <c r="B44" s="215" t="s">
        <v>1546</v>
      </c>
      <c r="C44" s="238">
        <f ca="1">ROUND(IF('数据-取费表'!B22&lt;=1,C40*F22*'数据-取费表'!B20/2,C40*(POWER((1+F22),'数据-取费表'!B20/2)-1)),4)</f>
        <v>8.0000000000000004E-4</v>
      </c>
      <c r="D44" s="238"/>
      <c r="E44" s="238"/>
      <c r="F44" s="239"/>
      <c r="G44" s="3668"/>
    </row>
    <row r="45" spans="1:7" s="214" customFormat="1" ht="13.5" customHeight="1">
      <c r="A45" s="255" t="s">
        <v>1547</v>
      </c>
      <c r="B45" s="244" t="s">
        <v>1513</v>
      </c>
      <c r="C45" s="245">
        <f ca="1">C46</f>
        <v>3822804</v>
      </c>
      <c r="D45" s="235">
        <f ca="1">C47</f>
        <v>3.3999999999999998E-3</v>
      </c>
      <c r="E45" s="236" t="s">
        <v>1539</v>
      </c>
      <c r="F45" s="246">
        <f ca="1">F27</f>
        <v>0.17</v>
      </c>
      <c r="G45" s="247" t="s">
        <v>1548</v>
      </c>
    </row>
    <row r="46" spans="1:7" s="214" customFormat="1" ht="13.5" customHeight="1">
      <c r="A46" s="780" t="s">
        <v>346</v>
      </c>
      <c r="B46" s="248" t="s">
        <v>1549</v>
      </c>
      <c r="C46" s="249">
        <f ca="1">ROUND((C33+C39)*F27,0)</f>
        <v>3822804</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29503033</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25962669</v>
      </c>
      <c r="D51" s="232"/>
      <c r="E51" s="232"/>
      <c r="F51" s="264"/>
      <c r="G51" s="234" t="s">
        <v>1560</v>
      </c>
    </row>
    <row r="52" spans="1:7" s="208" customFormat="1" ht="16.5" thickBot="1">
      <c r="A52" s="265" t="s">
        <v>1561</v>
      </c>
      <c r="B52" s="266"/>
      <c r="C52" s="267">
        <f ca="1">C31+C51</f>
        <v>27356960</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5033.37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5033.37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5033.37</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40.65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4295</v>
      </c>
      <c r="C2" s="1387" t="s">
        <v>805</v>
      </c>
      <c r="D2" s="1387"/>
      <c r="E2" s="1388"/>
      <c r="F2" s="1389"/>
      <c r="G2" s="2706"/>
      <c r="H2" s="2695"/>
      <c r="I2" s="2695"/>
      <c r="J2" s="2695"/>
      <c r="K2" s="2696"/>
      <c r="L2" s="2695"/>
      <c r="M2" s="2695"/>
    </row>
    <row r="3" spans="1:37" ht="18" customHeight="1" thickBot="1">
      <c r="A3" s="1390" t="s">
        <v>806</v>
      </c>
      <c r="B3" s="1391">
        <f ca="1">IF(ISERROR(B2*10000/F43),0,ROUND(B2*10000/F43,0))</f>
        <v>14232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248</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248</v>
      </c>
      <c r="D6" s="155" t="s">
        <v>2109</v>
      </c>
      <c r="E6" s="302" t="s">
        <v>696</v>
      </c>
      <c r="F6" s="303">
        <f ca="1">INDIRECT("'数据-取费表'!u"&amp;$G$1)</f>
        <v>2.5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3017.9</v>
      </c>
      <c r="G7" s="1384"/>
      <c r="H7" s="304"/>
      <c r="I7" s="3672"/>
      <c r="J7" s="306"/>
      <c r="K7" s="307"/>
      <c r="L7" s="302" t="s">
        <v>697</v>
      </c>
      <c r="M7" s="303">
        <f ca="1">F7</f>
        <v>3017.9</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1207</v>
      </c>
      <c r="D14" s="1345" t="s">
        <v>708</v>
      </c>
      <c r="E14" s="1342"/>
      <c r="F14" s="319"/>
      <c r="G14" s="1384"/>
      <c r="H14" s="982" t="s">
        <v>398</v>
      </c>
      <c r="I14" s="302" t="s">
        <v>709</v>
      </c>
      <c r="J14" s="21">
        <f ca="1">C29</f>
        <v>1737</v>
      </c>
      <c r="K14" s="12"/>
      <c r="L14" s="807"/>
      <c r="M14" s="808"/>
    </row>
    <row r="15" spans="1:37" s="1397" customFormat="1" ht="18" customHeight="1" thickBot="1">
      <c r="A15" s="982" t="s">
        <v>399</v>
      </c>
      <c r="B15" s="302" t="s">
        <v>710</v>
      </c>
      <c r="C15" s="21">
        <f ca="1">ROUND(C14*F15,0)</f>
        <v>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60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1321</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26</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17.37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202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1737</v>
      </c>
      <c r="D29" s="1092"/>
      <c r="E29" s="1090"/>
      <c r="F29" s="1093"/>
      <c r="G29" s="1396"/>
      <c r="H29" s="334" t="s">
        <v>396</v>
      </c>
      <c r="I29" s="335" t="s">
        <v>768</v>
      </c>
      <c r="J29" s="336">
        <f ca="1">ROUND(J26/(1+F40)^F41,0)</f>
        <v>0</v>
      </c>
      <c r="K29" s="337" t="s">
        <v>769</v>
      </c>
      <c r="L29" s="338"/>
      <c r="M29" s="339">
        <f ca="1">INDIRECT("'数据-取费表'!k"&amp;$G$1)</f>
        <v>3017.9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41.33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12.99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28.34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17.37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1.53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2.48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185</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4258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14109</v>
      </c>
      <c r="D43" s="337" t="s">
        <v>777</v>
      </c>
      <c r="E43" s="338" t="s">
        <v>778</v>
      </c>
      <c r="F43" s="339">
        <f ca="1">INDIRECT("'数据-取费表'!k"&amp;$G$1)</f>
        <v>3017.9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-4564</v>
      </c>
      <c r="D46" s="1406" t="str">
        <f>C2</f>
        <v>万元</v>
      </c>
      <c r="E46" s="1400"/>
      <c r="F46" s="1400"/>
      <c r="I46" s="1407" t="s">
        <v>810</v>
      </c>
      <c r="J46" s="1408"/>
      <c r="K46" s="1409"/>
      <c r="L46" s="1410">
        <f ca="1">IF(M47="住宅",0,IF(L48&gt;J51,L60,J60))</f>
        <v>37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4258</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40.65</v>
      </c>
      <c r="O48" s="1418" t="s">
        <v>404</v>
      </c>
      <c r="P48" s="1419" t="s">
        <v>821</v>
      </c>
      <c r="Q48" s="1420">
        <f ca="1">J60</f>
        <v>37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1737</v>
      </c>
      <c r="R49" s="1420" t="s">
        <v>818</v>
      </c>
    </row>
    <row r="50" spans="1:18" s="1384" customFormat="1" ht="13.5" thickBot="1">
      <c r="A50" s="976"/>
      <c r="B50" s="979"/>
      <c r="C50" s="1118"/>
      <c r="D50" s="953"/>
      <c r="E50" s="1056" t="s">
        <v>697</v>
      </c>
      <c r="F50" s="1057">
        <f ca="1">F7</f>
        <v>3017.9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1442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40.65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40.65</v>
      </c>
      <c r="K53" s="3669" t="s">
        <v>837</v>
      </c>
      <c r="L53" s="3670"/>
      <c r="O53" s="1418" t="s">
        <v>409</v>
      </c>
      <c r="P53" s="1419" t="s">
        <v>838</v>
      </c>
      <c r="Q53" s="1420">
        <f ca="1">Q47+Q48</f>
        <v>4295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1529</v>
      </c>
      <c r="D56" s="1447"/>
      <c r="E56" s="1448"/>
      <c r="F56" s="1440"/>
      <c r="I56" s="1449" t="s">
        <v>842</v>
      </c>
      <c r="J56" s="1450" t="s">
        <v>3392</v>
      </c>
      <c r="K56" s="1421" t="s">
        <v>843</v>
      </c>
      <c r="L56" s="1424" t="str">
        <f ca="1">IF(L48&lt;J51,"——",L48-J53)</f>
        <v>——</v>
      </c>
      <c r="O56" s="1418" t="s">
        <v>403</v>
      </c>
      <c r="P56" s="1419" t="s">
        <v>817</v>
      </c>
      <c r="Q56" s="1420">
        <f ca="1">C40+J29</f>
        <v>4258</v>
      </c>
      <c r="R56" s="1420" t="s">
        <v>818</v>
      </c>
    </row>
    <row r="57" spans="1:18" s="1384" customFormat="1" ht="24.75" thickBot="1">
      <c r="A57" s="1451"/>
      <c r="B57" s="950" t="s">
        <v>767</v>
      </c>
      <c r="C57" s="238">
        <f ca="1">C29</f>
        <v>1737</v>
      </c>
      <c r="D57" s="1452"/>
      <c r="E57" s="1453"/>
      <c r="F57" s="1454"/>
      <c r="I57" s="1455" t="s">
        <v>844</v>
      </c>
      <c r="J57" s="1456">
        <f ca="1">IF(OR(M47="住宅",J51&lt;L48,J56="是"),"——",J51-L48)</f>
        <v>12.350000000000001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4258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17.37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1.53</v>
      </c>
      <c r="D65" s="964" t="s">
        <v>743</v>
      </c>
      <c r="E65" s="950" t="s">
        <v>744</v>
      </c>
      <c r="F65" s="330">
        <f t="shared" ca="1" si="0"/>
        <v>1E-3</v>
      </c>
      <c r="I65" s="1462" t="s">
        <v>867</v>
      </c>
      <c r="J65" s="1463">
        <v>40</v>
      </c>
      <c r="K65" s="1463">
        <v>30</v>
      </c>
      <c r="L65" s="1463">
        <v>50</v>
      </c>
      <c r="M65" s="1465">
        <v>0.02</v>
      </c>
      <c r="O65" s="1418" t="s">
        <v>403</v>
      </c>
      <c r="P65" s="1419" t="s">
        <v>868</v>
      </c>
      <c r="Q65" s="1420">
        <f ca="1">C40+J29</f>
        <v>4258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1442</v>
      </c>
      <c r="R67" s="1420" t="s">
        <v>870</v>
      </c>
    </row>
    <row r="68" spans="1:18" s="1384" customFormat="1" ht="16.5" thickBot="1">
      <c r="A68" s="947" t="s">
        <v>395</v>
      </c>
      <c r="B68" s="948" t="s">
        <v>774</v>
      </c>
      <c r="C68" s="301">
        <f ca="1">ROUND(C67*(1-((1+F70)/(1+F68))^F69)/(F68-F70),0)</f>
        <v>-306</v>
      </c>
      <c r="D68" s="965" t="s">
        <v>758</v>
      </c>
      <c r="E68" s="950" t="s">
        <v>759</v>
      </c>
      <c r="F68" s="312">
        <f ca="1">F40</f>
        <v>5.5E-2</v>
      </c>
      <c r="O68" s="1428" t="s">
        <v>406</v>
      </c>
      <c r="P68" s="1467" t="s">
        <v>871</v>
      </c>
      <c r="Q68" s="1420">
        <f ca="1">ROUND(Q69-Q70*Q71,0)</f>
        <v>78</v>
      </c>
      <c r="R68" s="1420" t="s">
        <v>414</v>
      </c>
    </row>
    <row r="69" spans="1:18" s="1384" customFormat="1" ht="13.5" thickBot="1">
      <c r="A69" s="951"/>
      <c r="B69" s="952"/>
      <c r="C69" s="306"/>
      <c r="D69" s="970" t="s">
        <v>762</v>
      </c>
      <c r="E69" s="950" t="s">
        <v>763</v>
      </c>
      <c r="F69" s="333">
        <f ca="1">F41</f>
        <v>40.65</v>
      </c>
      <c r="O69" s="1428" t="s">
        <v>411</v>
      </c>
      <c r="P69" s="1467" t="s">
        <v>872</v>
      </c>
      <c r="Q69" s="1420">
        <f ca="1">C39</f>
        <v>185</v>
      </c>
      <c r="R69" s="1420" t="s">
        <v>818</v>
      </c>
    </row>
    <row r="70" spans="1:18" s="1384" customFormat="1" ht="13.5" thickBot="1">
      <c r="A70" s="954"/>
      <c r="B70" s="955"/>
      <c r="C70" s="310"/>
      <c r="D70" s="966"/>
      <c r="E70" s="950" t="s">
        <v>766</v>
      </c>
      <c r="F70" s="1054"/>
      <c r="O70" s="1428" t="s">
        <v>412</v>
      </c>
      <c r="P70" s="1467" t="s">
        <v>873</v>
      </c>
      <c r="Q70" s="1420">
        <f ca="1">C13</f>
        <v>1529</v>
      </c>
      <c r="R70" s="1420" t="s">
        <v>818</v>
      </c>
    </row>
    <row r="71" spans="1:18" s="1384" customFormat="1" ht="13.5" thickBot="1">
      <c r="A71" s="971" t="s">
        <v>396</v>
      </c>
      <c r="B71" s="972" t="s">
        <v>776</v>
      </c>
      <c r="C71" s="336">
        <f ca="1">ROUND(C68*10000/F71,0)</f>
        <v>-1014</v>
      </c>
      <c r="D71" s="973" t="s">
        <v>777</v>
      </c>
      <c r="E71" s="974" t="s">
        <v>778</v>
      </c>
      <c r="F71" s="339">
        <f ca="1">F43</f>
        <v>3017.9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107</v>
      </c>
      <c r="D75" s="1384"/>
      <c r="E75" s="1384"/>
      <c r="F75" s="1384"/>
      <c r="K75" s="1402"/>
      <c r="L75" s="1384"/>
      <c r="O75" s="1418" t="s">
        <v>409</v>
      </c>
      <c r="P75" s="1419" t="s">
        <v>838</v>
      </c>
      <c r="Q75" s="1420">
        <f ca="1">Q65+Q66</f>
        <v>4258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0.64100000000000001</v>
      </c>
    </row>
    <row r="83" spans="2:3">
      <c r="B83" s="273" t="s">
        <v>803</v>
      </c>
      <c r="C83" s="274">
        <f ca="1">ROUND(C13/C40,3)</f>
        <v>0.35899999999999999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80" t="s">
        <v>2320</v>
      </c>
      <c r="K2" s="368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82" t="s">
        <v>2330</v>
      </c>
      <c r="K3" s="368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82" t="s">
        <v>2332</v>
      </c>
      <c r="K4" s="368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88" t="s">
        <v>2336</v>
      </c>
      <c r="B6" s="3689"/>
      <c r="C6" s="3690"/>
      <c r="D6" s="2870"/>
      <c r="E6" s="2871"/>
      <c r="F6" s="2872"/>
      <c r="G6" s="2873"/>
      <c r="H6" s="2848"/>
      <c r="I6" s="2849"/>
      <c r="J6" s="3674">
        <v>1</v>
      </c>
      <c r="K6" s="367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74"/>
      <c r="K7" s="367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91" t="s">
        <v>2350</v>
      </c>
      <c r="C8" s="3692"/>
      <c r="D8" s="2889" t="s">
        <v>2351</v>
      </c>
      <c r="E8" s="2890" t="s">
        <v>2352</v>
      </c>
      <c r="F8" s="2891" t="s">
        <v>2353</v>
      </c>
      <c r="G8" s="2892"/>
      <c r="H8" s="2848"/>
      <c r="I8" s="2849"/>
      <c r="J8" s="3674"/>
      <c r="K8" s="367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91" t="s">
        <v>2356</v>
      </c>
      <c r="C9" s="3692"/>
      <c r="D9" s="2889">
        <f>ROUND(D6*E9,0)</f>
        <v>0</v>
      </c>
      <c r="E9" s="2893"/>
      <c r="F9" s="2894" t="s">
        <v>2357</v>
      </c>
      <c r="G9" s="2873"/>
      <c r="H9" s="2848"/>
      <c r="I9" s="2849"/>
      <c r="J9" s="3674"/>
      <c r="K9" s="3676"/>
      <c r="L9" s="2883" t="s">
        <v>2358</v>
      </c>
      <c r="M9" s="2884"/>
      <c r="N9" s="2860"/>
      <c r="O9" s="2885"/>
      <c r="P9" s="2885"/>
      <c r="Q9" s="2886">
        <v>365</v>
      </c>
      <c r="R9" s="2887">
        <f t="shared" si="0"/>
        <v>0</v>
      </c>
      <c r="S9" s="2841"/>
      <c r="T9" s="2841"/>
      <c r="U9" s="2841"/>
      <c r="V9" s="2849"/>
    </row>
    <row r="10" spans="1:22" s="2853" customFormat="1" ht="13.15" customHeight="1">
      <c r="A10" s="2888">
        <v>2</v>
      </c>
      <c r="B10" s="3691" t="s">
        <v>2359</v>
      </c>
      <c r="C10" s="3692"/>
      <c r="D10" s="2889">
        <f>ROUND(D6*E10,0)</f>
        <v>0</v>
      </c>
      <c r="E10" s="2893"/>
      <c r="F10" s="2894" t="s">
        <v>2360</v>
      </c>
      <c r="G10" s="2873"/>
      <c r="H10" s="2848"/>
      <c r="I10" s="2849"/>
      <c r="J10" s="3674"/>
      <c r="K10" s="3676"/>
      <c r="L10" s="2883" t="s">
        <v>2361</v>
      </c>
      <c r="M10" s="2884"/>
      <c r="N10" s="2860"/>
      <c r="O10" s="2885"/>
      <c r="P10" s="2885"/>
      <c r="Q10" s="2886">
        <v>365</v>
      </c>
      <c r="R10" s="2887">
        <f t="shared" si="0"/>
        <v>0</v>
      </c>
      <c r="S10" s="2841"/>
      <c r="T10" s="2841"/>
      <c r="U10" s="2841"/>
      <c r="V10" s="2849"/>
    </row>
    <row r="11" spans="1:22" s="2853" customFormat="1" ht="13.15" customHeight="1">
      <c r="A11" s="2888">
        <v>3</v>
      </c>
      <c r="B11" s="3691" t="s">
        <v>2362</v>
      </c>
      <c r="C11" s="3692"/>
      <c r="D11" s="2889">
        <f>D12+D14+D15+D16</f>
        <v>0</v>
      </c>
      <c r="E11" s="2895" t="e">
        <f>D11/D6</f>
        <v>#DIV/0!</v>
      </c>
      <c r="F11" s="2891"/>
      <c r="G11" s="2892"/>
      <c r="H11" s="2848"/>
      <c r="I11" s="2849"/>
      <c r="J11" s="3674"/>
      <c r="K11" s="367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84" t="s">
        <v>2365</v>
      </c>
      <c r="C12" s="3685"/>
      <c r="D12" s="2897">
        <f>ROUND(D13*1.2%*(1-30%),0)</f>
        <v>0</v>
      </c>
      <c r="E12" s="2898">
        <v>1.2E-2</v>
      </c>
      <c r="F12" s="2891" t="s">
        <v>2366</v>
      </c>
      <c r="G12" s="2892"/>
      <c r="H12" s="2848"/>
      <c r="I12" s="2849"/>
      <c r="J12" s="3674"/>
      <c r="K12" s="367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74"/>
      <c r="K13" s="367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84" t="s">
        <v>2371</v>
      </c>
      <c r="C14" s="3685"/>
      <c r="D14" s="2897">
        <f>ROUND(E14*B5/10000,0)</f>
        <v>0</v>
      </c>
      <c r="E14" s="2886"/>
      <c r="F14" s="2891" t="s">
        <v>2372</v>
      </c>
      <c r="G14" s="2892"/>
      <c r="H14" s="2848"/>
      <c r="I14" s="2849"/>
      <c r="J14" s="3674"/>
      <c r="K14" s="367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84" t="s">
        <v>2375</v>
      </c>
      <c r="C15" s="3685"/>
      <c r="D15" s="2897">
        <f>ROUND(D6*E15,0)</f>
        <v>0</v>
      </c>
      <c r="E15" s="2898">
        <v>5.5E-2</v>
      </c>
      <c r="F15" s="2891" t="s">
        <v>2376</v>
      </c>
      <c r="G15" s="2873"/>
      <c r="H15" s="2848"/>
      <c r="I15" s="2849"/>
      <c r="J15" s="3674">
        <v>2</v>
      </c>
      <c r="K15" s="367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84" t="s">
        <v>2384</v>
      </c>
      <c r="C16" s="3685"/>
      <c r="D16" s="2908">
        <f>D6*E16</f>
        <v>0</v>
      </c>
      <c r="E16" s="2909"/>
      <c r="F16" s="2894" t="s">
        <v>2385</v>
      </c>
      <c r="G16" s="2873"/>
      <c r="H16" s="2848"/>
      <c r="I16" s="2849"/>
      <c r="J16" s="3674"/>
      <c r="K16" s="367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2387</v>
      </c>
      <c r="C17" s="3687"/>
      <c r="D17" s="2911">
        <f>ROUND(D6*E17,0)</f>
        <v>0</v>
      </c>
      <c r="E17" s="2912"/>
      <c r="F17" s="2913" t="s">
        <v>2388</v>
      </c>
      <c r="G17" s="2873"/>
      <c r="H17" s="2848"/>
      <c r="I17" s="2849"/>
      <c r="J17" s="3674"/>
      <c r="K17" s="367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74"/>
      <c r="K18" s="367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74"/>
      <c r="K19" s="367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74"/>
      <c r="K21" s="367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74"/>
      <c r="K22" s="367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74"/>
      <c r="K23" s="367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74"/>
      <c r="K24" s="367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80" t="s">
        <v>2320</v>
      </c>
      <c r="K32" s="368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82" t="s">
        <v>2330</v>
      </c>
      <c r="K33" s="368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82" t="s">
        <v>2332</v>
      </c>
      <c r="K34" s="368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74">
        <v>1</v>
      </c>
      <c r="K36" s="367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74"/>
      <c r="K40" s="367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7205</v>
      </c>
      <c r="C2" s="1872" t="s">
        <v>1651</v>
      </c>
      <c r="D2" s="1873" t="s">
        <v>1652</v>
      </c>
      <c r="E2" s="2607">
        <f>SUM(E6:E13)</f>
        <v>5033.37</v>
      </c>
      <c r="F2" s="2707"/>
      <c r="G2" s="1489"/>
      <c r="H2" s="1489"/>
      <c r="I2" s="1489"/>
      <c r="J2" s="1489"/>
      <c r="K2" s="1489"/>
      <c r="L2" s="1489"/>
      <c r="M2" s="1489"/>
      <c r="N2" s="1489"/>
      <c r="O2" s="1489"/>
      <c r="P2" s="1489"/>
      <c r="Q2" s="1489"/>
      <c r="R2" s="1489"/>
      <c r="S2" s="1489"/>
    </row>
    <row r="3" spans="1:22" ht="15.75">
      <c r="A3" s="1870" t="s">
        <v>686</v>
      </c>
      <c r="B3" s="2601">
        <f ca="1">ROUND(B2*10000/E2,0)</f>
        <v>14314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4295</v>
      </c>
      <c r="C6" s="1872" t="s">
        <v>1651</v>
      </c>
      <c r="D6" s="2709"/>
      <c r="E6" s="2606">
        <f>IF(OR(A6=0,F6="否"),0,'数据-取费表'!K6+'数据-取费表'!S6)</f>
        <v>3017.9</v>
      </c>
      <c r="F6" s="1876" t="s">
        <v>1657</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2910</v>
      </c>
      <c r="C7" s="1872" t="s">
        <v>1651</v>
      </c>
      <c r="D7" s="2709"/>
      <c r="E7" s="2606">
        <f>IF(OR(A7=0,F7="否"),0,'数据-取费表'!K7+'数据-取费表'!S7)</f>
        <v>2015.47</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5033.37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ht="15">
      <c r="A5" s="358"/>
      <c r="B5" s="359"/>
      <c r="C5" s="3732" t="s">
        <v>1673</v>
      </c>
      <c r="D5" s="3733"/>
      <c r="E5" s="3739" t="s">
        <v>1674</v>
      </c>
      <c r="F5" s="3740"/>
      <c r="G5" s="3732" t="s">
        <v>1675</v>
      </c>
      <c r="H5" s="3733"/>
      <c r="I5" s="3732" t="s">
        <v>1676</v>
      </c>
      <c r="J5" s="3733"/>
      <c r="K5" s="1890"/>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4" t="s">
        <v>1680</v>
      </c>
      <c r="Q7" s="3736"/>
      <c r="R7" s="701" t="s">
        <v>20</v>
      </c>
      <c r="S7" s="702">
        <f t="shared" ref="S7:S15" si="0">F7</f>
        <v>0</v>
      </c>
      <c r="T7" s="701" t="s">
        <v>20</v>
      </c>
      <c r="U7" s="702">
        <f t="shared" ref="U7:U15" si="1">H7</f>
        <v>0</v>
      </c>
      <c r="V7" s="701" t="s">
        <v>20</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5033.37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29"/>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75" thickBot="1">
      <c r="A7" s="362" t="s">
        <v>1679</v>
      </c>
      <c r="B7" s="363"/>
      <c r="C7" s="364">
        <f>'数据-取费表'!B2</f>
        <v>44943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5033.37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7" t="s">
        <v>1775</v>
      </c>
      <c r="Q4" s="3748"/>
      <c r="R4" s="3751" t="s">
        <v>1771</v>
      </c>
      <c r="S4" s="3752"/>
      <c r="T4" s="3751" t="s">
        <v>1772</v>
      </c>
      <c r="U4" s="3752"/>
      <c r="V4" s="3753" t="s">
        <v>1773</v>
      </c>
      <c r="W4" s="3753"/>
      <c r="X4" s="1958"/>
      <c r="Y4" s="3751" t="s">
        <v>1775</v>
      </c>
      <c r="Z4" s="3752"/>
      <c r="AA4" s="3755" t="s">
        <v>1771</v>
      </c>
      <c r="AB4" s="3755" t="s">
        <v>1772</v>
      </c>
      <c r="AC4" s="3744" t="s">
        <v>1773</v>
      </c>
    </row>
    <row r="5" spans="1:29" ht="15">
      <c r="A5" s="358"/>
      <c r="B5" s="359"/>
      <c r="C5" s="3732" t="s">
        <v>1673</v>
      </c>
      <c r="D5" s="3733"/>
      <c r="E5" s="3739" t="s">
        <v>1674</v>
      </c>
      <c r="F5" s="3740"/>
      <c r="G5" s="3732" t="s">
        <v>1675</v>
      </c>
      <c r="H5" s="3733"/>
      <c r="I5" s="3732" t="s">
        <v>1676</v>
      </c>
      <c r="J5" s="3733"/>
      <c r="K5" s="559"/>
      <c r="L5" s="2715"/>
      <c r="M5" s="2716"/>
      <c r="N5" s="2716"/>
      <c r="O5" s="2716"/>
      <c r="P5" s="3749"/>
      <c r="Q5" s="3720"/>
      <c r="R5" s="3725"/>
      <c r="S5" s="3726"/>
      <c r="T5" s="3725"/>
      <c r="U5" s="3726"/>
      <c r="V5" s="3729"/>
      <c r="W5" s="3729"/>
      <c r="X5" s="1355"/>
      <c r="Y5" s="3725"/>
      <c r="Z5" s="3726"/>
      <c r="AA5" s="3711"/>
      <c r="AB5" s="3711"/>
      <c r="AC5" s="3745"/>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50"/>
      <c r="Q6" s="3722"/>
      <c r="R6" s="3725"/>
      <c r="S6" s="3726"/>
      <c r="T6" s="3727"/>
      <c r="U6" s="3728"/>
      <c r="V6" s="3729"/>
      <c r="W6" s="3729"/>
      <c r="X6" s="1355"/>
      <c r="Y6" s="3727"/>
      <c r="Z6" s="3728"/>
      <c r="AA6" s="3712"/>
      <c r="AB6" s="3712"/>
      <c r="AC6" s="3746"/>
    </row>
    <row r="7" spans="1:29" s="108" customFormat="1" ht="15.75" thickBot="1">
      <c r="A7" s="362" t="s">
        <v>1679</v>
      </c>
      <c r="B7" s="363"/>
      <c r="C7" s="364">
        <f>'数据-取费表'!B2</f>
        <v>44943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5033.37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估价对象为北京市房地产，为所有。根据《国有土地使用证》[]，估价对象（分摊）出让国有建设用地使用权面积为0平方米，建筑面积为5033.37平方米。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估价对象为北京市房地产,属开发建设的，该项目尚在开发建设中。根据《国有土地使用证》[]，估价对象（分摊）出让国有建设用地使用权面积为0平方米，规划建筑面积为5033.37平方米。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30"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75" thickBot="1">
      <c r="A7" s="362" t="s">
        <v>1679</v>
      </c>
      <c r="B7" s="363"/>
      <c r="C7" s="364">
        <f>'数据-取费表'!B2</f>
        <v>44943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98"/>
      <c r="Q10" s="1343" t="str">
        <f t="shared" si="6"/>
        <v>土地使用年限（年）</v>
      </c>
      <c r="R10" s="701" t="s">
        <v>14</v>
      </c>
      <c r="S10" s="702">
        <f t="shared" si="0"/>
        <v>107</v>
      </c>
      <c r="T10" s="701" t="s">
        <v>14</v>
      </c>
      <c r="U10" s="702">
        <f t="shared" si="1"/>
        <v>107</v>
      </c>
      <c r="V10" s="701" t="s">
        <v>14</v>
      </c>
      <c r="W10" s="702">
        <f t="shared" si="2"/>
        <v>107</v>
      </c>
      <c r="X10" s="703"/>
      <c r="Y10" s="3573"/>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5033.37</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5033.37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61" t="s">
        <v>1919</v>
      </c>
      <c r="D6" s="3762"/>
      <c r="E6" s="3763" t="s">
        <v>1919</v>
      </c>
      <c r="F6" s="3764"/>
      <c r="G6" s="3761" t="s">
        <v>1919</v>
      </c>
      <c r="H6" s="3762"/>
      <c r="I6" s="3761" t="s">
        <v>1919</v>
      </c>
      <c r="J6" s="3762"/>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98"/>
      <c r="Q10" s="1343" t="str">
        <f t="shared" si="6"/>
        <v>土地使用年限（年）</v>
      </c>
      <c r="R10" s="701" t="s">
        <v>14</v>
      </c>
      <c r="S10" s="702">
        <f t="shared" si="0"/>
        <v>107</v>
      </c>
      <c r="T10" s="701" t="s">
        <v>14</v>
      </c>
      <c r="U10" s="702">
        <f t="shared" si="1"/>
        <v>107</v>
      </c>
      <c r="V10" s="701" t="s">
        <v>14</v>
      </c>
      <c r="W10" s="702">
        <f t="shared" si="2"/>
        <v>107</v>
      </c>
      <c r="X10" s="703"/>
      <c r="Y10" s="3573"/>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5033.37</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2556</v>
      </c>
      <c r="C2" s="2145" t="s">
        <v>2074</v>
      </c>
      <c r="D2" s="2145" t="s">
        <v>2075</v>
      </c>
      <c r="E2" s="2612">
        <f ca="1">SUMIF(E6:E13,"&lt;&gt;#ref!",E6:E13)</f>
        <v>3017.9</v>
      </c>
      <c r="F2" s="2793"/>
      <c r="G2" s="2793"/>
      <c r="H2" s="2793"/>
      <c r="I2" s="2793"/>
      <c r="J2" s="2793"/>
      <c r="K2" s="2793"/>
      <c r="L2" s="2793"/>
      <c r="M2" s="2793"/>
      <c r="N2" s="2793"/>
      <c r="O2" s="2793"/>
      <c r="P2" s="2793"/>
    </row>
    <row r="3" spans="1:16" ht="15.75">
      <c r="A3" s="2145" t="s">
        <v>2076</v>
      </c>
      <c r="B3" s="2602">
        <f ca="1">ROUND(B2*10000/E2,0)</f>
        <v>8469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2556</v>
      </c>
      <c r="C6" s="2145" t="s">
        <v>2074</v>
      </c>
      <c r="D6" s="2793"/>
      <c r="E6" s="2612">
        <f ca="1">SUMIF(INDIRECT("'"&amp;A6&amp;"'"&amp;"!C:C"),"建筑面积",INDIRECT("'"&amp;A6&amp;"'"&amp;"!D:D"))</f>
        <v>3017.9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3017.9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2556</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13120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8469</v>
      </c>
      <c r="C3" s="1999" t="s">
        <v>1941</v>
      </c>
      <c r="D3" s="2000" t="s">
        <v>1942</v>
      </c>
      <c r="E3" s="3420" t="s">
        <v>3398</v>
      </c>
      <c r="F3" s="2004" t="s">
        <v>3423</v>
      </c>
      <c r="G3" s="752">
        <f>IF(F3="宗地容积率",'数据-汇总表'!I4,IF(F3="估价对象容积率",'数据-汇总表'!I6,'数据-汇总表'!I7))</f>
        <v>2.9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10341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8740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8664</v>
      </c>
      <c r="D5" s="1339">
        <f>ROUND(C6*C17+C20,0)</f>
        <v>8664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7708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7408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2.9</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44943</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0.95199999999999996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40.65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0.96950000000000003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0.96950000000000003</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0.96950000000000003</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2556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8469</v>
      </c>
      <c r="D33" s="2098">
        <f>'数据-汇总表'!F19</f>
        <v>3017.9</v>
      </c>
      <c r="E33" s="773">
        <f>ROUND(C33*D33/10000,0)</f>
        <v>2556</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2117</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5241</v>
      </c>
      <c r="D37" s="2098"/>
      <c r="E37" s="171">
        <f>ROUND(C37*D37/10000,0)</f>
        <v>0</v>
      </c>
      <c r="F37" s="171">
        <f>SUMIF(修正!A57:A68,G2,修正!B57:B68)</f>
        <v>0.6</v>
      </c>
      <c r="G37" s="171">
        <f>ROUND(IF(E2="工业",C37*$M$42,C37*$M$41),0)</f>
        <v>1310</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2621</v>
      </c>
      <c r="D38" s="2098"/>
      <c r="E38" s="171">
        <f t="shared" ref="E38:E42" si="4">ROUND(C38*D38/10000,0)</f>
        <v>0</v>
      </c>
      <c r="F38" s="171">
        <f>SUMIF(修正!A57:A68,G2,修正!C57:C68)</f>
        <v>0.3</v>
      </c>
      <c r="G38" s="171">
        <f>ROUND(IF(E2="工业",C38*$M$42,C38*$M$41),0)</f>
        <v>655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2184</v>
      </c>
      <c r="D39" s="2098"/>
      <c r="E39" s="171">
        <f t="shared" si="4"/>
        <v>0</v>
      </c>
      <c r="F39" s="171">
        <f>SUMIF(修正!A57:A68,G2,修正!D57:D68)</f>
        <v>0.25</v>
      </c>
      <c r="G39" s="171">
        <f>ROUND(IF(E2="工业",C39*$M$42,C39*$M$41),0)</f>
        <v>546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2184</v>
      </c>
      <c r="D40" s="2098"/>
      <c r="E40" s="171">
        <f t="shared" si="4"/>
        <v>0</v>
      </c>
      <c r="F40" s="175">
        <f>SUMIF(修正!A57:A68,G2,修正!E57:E68)</f>
        <v>0.25</v>
      </c>
      <c r="G40" s="171">
        <f>ROUND(IF(E2="工业",C40*$M$42,C40*$M$41),0)</f>
        <v>546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1.042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3">SUMIF($J$60:$N$60,C61,J61:N61)</f>
        <v>1.6199999999999999E-2</v>
      </c>
      <c r="E61" s="744">
        <f>ROUND(SUM(D61:D69),4)</f>
        <v>4.2000000000000003E-2</v>
      </c>
      <c r="F61" s="1814">
        <f>IF(E2="办公",SUMIF(L1:L12,G2,N1:N12),"——")</f>
        <v>0.13</v>
      </c>
      <c r="G61" s="1063">
        <f>H61</f>
        <v>1.6199999999999999E-2</v>
      </c>
      <c r="H61" s="1066">
        <f t="shared" ref="H61:H69" si="14">IFERROR(ROUNDDOWN($F$61*I61/2,4),"——")</f>
        <v>1.6199999999999999E-2</v>
      </c>
      <c r="I61" s="3367">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f t="shared" ref="G62:G69" si="18">H62</f>
        <v>1.6899999999999998E-2</v>
      </c>
      <c r="H62" s="1066">
        <f t="shared" si="14"/>
        <v>1.6899999999999998E-2</v>
      </c>
      <c r="I62" s="3367">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f t="shared" si="13"/>
        <v>7.1000000000000004E-3</v>
      </c>
      <c r="E63" s="745"/>
      <c r="F63" s="1814"/>
      <c r="G63" s="1063">
        <f t="shared" si="18"/>
        <v>7.1000000000000004E-3</v>
      </c>
      <c r="H63" s="1066">
        <f t="shared" si="14"/>
        <v>7.1000000000000004E-3</v>
      </c>
      <c r="I63" s="3367">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f t="shared" si="13"/>
        <v>3.2000000000000002E-3</v>
      </c>
      <c r="E64" s="745"/>
      <c r="F64" s="1814"/>
      <c r="G64" s="1063">
        <f t="shared" si="18"/>
        <v>3.2000000000000002E-3</v>
      </c>
      <c r="H64" s="1066">
        <f t="shared" si="14"/>
        <v>3.2000000000000002E-3</v>
      </c>
      <c r="I64" s="3367">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f t="shared" si="18"/>
        <v>3.2000000000000002E-3</v>
      </c>
      <c r="H65" s="1066">
        <f t="shared" si="14"/>
        <v>3.2000000000000002E-3</v>
      </c>
      <c r="I65" s="3367">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f t="shared" si="13"/>
        <v>3.8999999999999998E-3</v>
      </c>
      <c r="E66" s="745"/>
      <c r="F66" s="1814"/>
      <c r="G66" s="1063">
        <f t="shared" si="18"/>
        <v>3.8999999999999998E-3</v>
      </c>
      <c r="H66" s="1066">
        <f t="shared" si="14"/>
        <v>3.8999999999999998E-3</v>
      </c>
      <c r="I66" s="3367">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f t="shared" si="18"/>
        <v>3.8999999999999998E-3</v>
      </c>
      <c r="H67" s="1066">
        <f t="shared" si="14"/>
        <v>3.8999999999999998E-3</v>
      </c>
      <c r="I67" s="3367">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3"/>
        <v>1.1599999999999999E-2</v>
      </c>
      <c r="E68" s="745"/>
      <c r="F68" s="1814"/>
      <c r="G68" s="1063">
        <f t="shared" si="18"/>
        <v>5.7999999999999996E-3</v>
      </c>
      <c r="H68" s="1066">
        <f t="shared" si="14"/>
        <v>5.7999999999999996E-3</v>
      </c>
      <c r="I68" s="3367">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f t="shared" si="18"/>
        <v>4.4999999999999997E-3</v>
      </c>
      <c r="H69" s="1066">
        <f t="shared" si="14"/>
        <v>4.4999999999999997E-3</v>
      </c>
      <c r="I69" s="3368">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3276</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3279</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3284</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3285</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390"/>
      <c r="L103" s="3390"/>
      <c r="M103" s="3390"/>
      <c r="N103" s="3390"/>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7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74" t="s">
        <v>3317</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2.9</v>
      </c>
      <c r="C116" s="3400" t="s">
        <v>3319</v>
      </c>
      <c r="D116" s="3401">
        <f>SUMPRODUCT((A118:A122=F116)*(B117:M117=H116)*B118:M122)</f>
        <v>0.90029999999999999</v>
      </c>
      <c r="E116" s="2000" t="s">
        <v>3320</v>
      </c>
      <c r="F116" s="3402" t="str">
        <f>E2</f>
        <v>办公</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7">I118</f>
        <v>0.7964</v>
      </c>
      <c r="K118" s="3388">
        <f t="shared" si="37"/>
        <v>0.7964</v>
      </c>
      <c r="L118" s="3388">
        <f t="shared" si="37"/>
        <v>0.7964</v>
      </c>
      <c r="M118" s="3411">
        <f t="shared" si="37"/>
        <v>0.7964</v>
      </c>
      <c r="N118" s="3398"/>
    </row>
    <row r="119" spans="1:14">
      <c r="A119" s="3410" t="s">
        <v>3335</v>
      </c>
      <c r="B119" s="3388">
        <f>ROUND(0.993-0.0112*B116,4)</f>
        <v>0.96050000000000002</v>
      </c>
      <c r="C119" s="3388">
        <f>B119</f>
        <v>0.96050000000000002</v>
      </c>
      <c r="D119" s="3388">
        <f>ROUND(0.9415-0.0142*B116,4)</f>
        <v>0.90029999999999999</v>
      </c>
      <c r="E119" s="3388">
        <f t="shared" ref="E119:H120" si="38">D119</f>
        <v>0.90029999999999999</v>
      </c>
      <c r="F119" s="3388">
        <f t="shared" si="38"/>
        <v>0.90029999999999999</v>
      </c>
      <c r="G119" s="3388">
        <f t="shared" si="38"/>
        <v>0.90029999999999999</v>
      </c>
      <c r="H119" s="3388">
        <f t="shared" si="38"/>
        <v>0.90029999999999999</v>
      </c>
      <c r="I119" s="3388">
        <f>ROUND(0.838-0.0182*B116,4)</f>
        <v>0.78520000000000001</v>
      </c>
      <c r="J119" s="3388">
        <f t="shared" si="37"/>
        <v>0.78520000000000001</v>
      </c>
      <c r="K119" s="3388">
        <f t="shared" si="37"/>
        <v>0.78520000000000001</v>
      </c>
      <c r="L119" s="3388">
        <f t="shared" si="37"/>
        <v>0.78520000000000001</v>
      </c>
      <c r="M119" s="3411">
        <f t="shared" si="37"/>
        <v>0.78520000000000001</v>
      </c>
      <c r="N119" s="3398"/>
    </row>
    <row r="120" spans="1:14">
      <c r="A120" s="3410" t="s">
        <v>3336</v>
      </c>
      <c r="B120" s="3388">
        <f>ROUND(0.9448-0.0115*B116,4)</f>
        <v>0.91149999999999998</v>
      </c>
      <c r="C120" s="3388">
        <f>B120</f>
        <v>0.91149999999999998</v>
      </c>
      <c r="D120" s="3388">
        <f>ROUND(0.937-0.0145*B116,4)</f>
        <v>0.89500000000000002</v>
      </c>
      <c r="E120" s="3388">
        <f t="shared" si="38"/>
        <v>0.89500000000000002</v>
      </c>
      <c r="F120" s="3388">
        <f t="shared" si="38"/>
        <v>0.89500000000000002</v>
      </c>
      <c r="G120" s="3388">
        <f t="shared" si="38"/>
        <v>0.89500000000000002</v>
      </c>
      <c r="H120" s="3388">
        <f t="shared" si="38"/>
        <v>0.89500000000000002</v>
      </c>
      <c r="I120" s="3388">
        <f>ROUND(0.7965-0.0185*B116,4)</f>
        <v>0.7429</v>
      </c>
      <c r="J120" s="3388">
        <f t="shared" si="37"/>
        <v>0.7429</v>
      </c>
      <c r="K120" s="3388">
        <f t="shared" si="37"/>
        <v>0.7429</v>
      </c>
      <c r="L120" s="3388">
        <f t="shared" si="37"/>
        <v>0.7429</v>
      </c>
      <c r="M120" s="3411">
        <f t="shared" si="37"/>
        <v>0.7429</v>
      </c>
      <c r="N120" s="3398"/>
    </row>
    <row r="121" spans="1:14" ht="13.5" thickBot="1">
      <c r="A121" s="3412" t="s">
        <v>3337</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7"/>
        <v>0.53539999999999999</v>
      </c>
      <c r="K121" s="3413">
        <f t="shared" si="37"/>
        <v>0.53539999999999999</v>
      </c>
      <c r="L121" s="3413">
        <f t="shared" si="37"/>
        <v>0.53539999999999999</v>
      </c>
      <c r="M121" s="3414">
        <f t="shared" si="37"/>
        <v>0.53539999999999999</v>
      </c>
      <c r="N121" s="3398"/>
    </row>
    <row r="122" spans="1:14">
      <c r="A122" s="3415" t="s">
        <v>2615</v>
      </c>
      <c r="B122" s="3388">
        <f>ROUND(0.9404-0.0106*B116,4)</f>
        <v>0.90969999999999995</v>
      </c>
      <c r="C122" s="3388">
        <f>B122</f>
        <v>0.90969999999999995</v>
      </c>
      <c r="D122" s="3388">
        <f>ROUND(0.8955-0.0135*B116,4)</f>
        <v>0.85640000000000005</v>
      </c>
      <c r="E122" s="3388">
        <f t="shared" ref="E122:H122" si="39">D122</f>
        <v>0.85640000000000005</v>
      </c>
      <c r="F122" s="3388">
        <f t="shared" si="39"/>
        <v>0.85640000000000005</v>
      </c>
      <c r="G122" s="3388">
        <f t="shared" si="39"/>
        <v>0.85640000000000005</v>
      </c>
      <c r="H122" s="3388">
        <f t="shared" si="39"/>
        <v>0.85640000000000005</v>
      </c>
      <c r="I122" s="3388">
        <f>ROUND(0.7632-0.0166*B116,4)</f>
        <v>0.71509999999999996</v>
      </c>
      <c r="J122" s="3388">
        <f t="shared" si="37"/>
        <v>0.71509999999999996</v>
      </c>
      <c r="K122" s="3388">
        <f t="shared" si="37"/>
        <v>0.71509999999999996</v>
      </c>
      <c r="L122" s="3388">
        <f t="shared" si="37"/>
        <v>0.71509999999999996</v>
      </c>
      <c r="M122" s="3411">
        <f t="shared" si="37"/>
        <v>0.71509999999999996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3416</v>
      </c>
      <c r="D4" s="1756" t="s">
        <v>3393</v>
      </c>
      <c r="E4" s="3612" t="s">
        <v>1267</v>
      </c>
      <c r="F4" s="3613"/>
      <c r="G4" s="3613"/>
      <c r="H4" s="3613"/>
      <c r="I4" s="3614"/>
      <c r="K4" s="146" t="str">
        <f>IF(ISNUMBER(FIND("比较法",'结果表-商业'!C4)),"比较法",IF(ISNUMBER(FIND("成本法",'结果表-商业'!C4)),"成本法",IF(ISNUMBER(FIND("假设开发法",'结果表-商业'!C4)),"假设开发法",IF(ISNUMBER(FIND("收益法",'结果表-商业'!C4)),"收益法","基准地价系数修正法"))))</f>
        <v>成本法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6" t="s">
        <v>1268</v>
      </c>
      <c r="B5" s="3573">
        <v>25</v>
      </c>
      <c r="C5" s="3589"/>
      <c r="D5" s="3609"/>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c r="D8" s="3609"/>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c r="D10" s="3609"/>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c r="D12" s="3609"/>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v>4</v>
      </c>
      <c r="D14" s="3609">
        <v>6</v>
      </c>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96" t="s">
        <v>2131</v>
      </c>
      <c r="F18" s="3597"/>
      <c r="G18" s="3597"/>
      <c r="H18" s="3597"/>
      <c r="I18" s="3597"/>
      <c r="K18" s="302" t="s">
        <v>1289</v>
      </c>
      <c r="L18" s="302">
        <f>IF(C1="",'数据-汇总表'!E3,SUMIF(项目类型,C1,'数据-汇总表'!E17:E26)+SUMIF(项目类型,C1,'数据-汇总表'!I17:I26))</f>
        <v>2015.47</v>
      </c>
      <c r="M18" s="302">
        <f>IF(C1="",'数据-汇总表'!E3,SUMIF(项目类型,C1,'数据-汇总表'!E17:E26))</f>
        <v>2015.47</v>
      </c>
    </row>
    <row r="19" spans="1:36" ht="15">
      <c r="A19" s="1761" t="s">
        <v>1290</v>
      </c>
      <c r="B19" s="1762" t="s">
        <v>1291</v>
      </c>
      <c r="C19" s="134">
        <f ca="1">SUMIF(INDIRECT("'"&amp;C4&amp;"'"&amp;"!A:A"),'结果表-商业'!B19,INDIRECT("'"&amp;C4&amp;"'"&amp;"!B:B"))</f>
        <v>4774</v>
      </c>
      <c r="D19" s="135">
        <f ca="1">SUMIF(INDIRECT("'"&amp;D4&amp;"'"&amp;"!A:A"),'结果表-商业'!B19,INDIRECT("'"&amp;D4&amp;"'"&amp;"!B:B"))</f>
        <v>2910</v>
      </c>
      <c r="E19" s="1761" t="s">
        <v>1292</v>
      </c>
      <c r="F19" s="1762" t="s">
        <v>1291</v>
      </c>
      <c r="G19" s="136">
        <f ca="1">ROUND(C19*$C$18+D19*$D$18,0)</f>
        <v>3656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SUMIF(INDIRECT("'"&amp;C4&amp;"'"&amp;"!A:A"),'结果表-商业'!B20,INDIRECT("'"&amp;C4&amp;"'"&amp;"!B:B"))</f>
        <v>23687</v>
      </c>
      <c r="D20" s="138">
        <f ca="1">SUMIF(INDIRECT("'"&amp;D4&amp;"'"&amp;"!A:A"),'结果表-商业'!B20,INDIRECT("'"&amp;D4&amp;"'"&amp;"!B:B"))</f>
        <v>14438</v>
      </c>
      <c r="E20" s="1764"/>
      <c r="F20" s="1026" t="s">
        <v>1295</v>
      </c>
      <c r="G20" s="139">
        <f ca="1">ROUND(C20*$C$18+D20*$D$18,0)</f>
        <v>18138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0.6405498281786941</v>
      </c>
      <c r="E22" s="129"/>
      <c r="F22" s="129"/>
      <c r="G22" s="129"/>
      <c r="H22" s="129"/>
      <c r="I22" s="129"/>
    </row>
    <row r="23" spans="1:36" ht="13.5" thickBot="1">
      <c r="A23" s="1747"/>
      <c r="B23" s="1747"/>
      <c r="C23" s="1747"/>
      <c r="D23" s="1747"/>
      <c r="E23" s="129"/>
      <c r="F23" s="129"/>
      <c r="G23" s="129"/>
      <c r="H23" s="129"/>
      <c r="I23" s="129"/>
    </row>
    <row r="24" spans="1:36" ht="14.25">
      <c r="A24" s="3580" t="s">
        <v>1299</v>
      </c>
      <c r="B24" s="1762" t="s">
        <v>1291</v>
      </c>
      <c r="C24" s="136">
        <f>IF(B30=0,0,D30)</f>
        <v>0</v>
      </c>
      <c r="D24" s="1769"/>
      <c r="E24" s="129"/>
      <c r="F24" s="129"/>
      <c r="G24" s="129"/>
      <c r="H24" s="129"/>
      <c r="I24" s="129"/>
    </row>
    <row r="25" spans="1:36" ht="14.25">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3656</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2563</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1093</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f ca="1">ROUND(H101*F45,0)</f>
        <v>3656</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3457">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3457">
        <v>2</v>
      </c>
      <c r="K47" s="3636" t="s">
        <v>1337</v>
      </c>
      <c r="L47" s="3636"/>
      <c r="M47" s="3657">
        <f>'数据-取费表'!B2</f>
        <v>44943</v>
      </c>
      <c r="N47" s="3657"/>
      <c r="O47" s="3657"/>
    </row>
    <row r="48" spans="1:15" ht="25.5">
      <c r="A48" s="3605" t="s">
        <v>1338</v>
      </c>
      <c r="B48" s="3588"/>
      <c r="C48" s="3588"/>
      <c r="D48" s="3452" t="b">
        <f>IF(H48="情况1",0,IF(H48="情况2",D52,IF(H48="情况3",D53,IF(H48="情况4",D54))))</f>
        <v>0</v>
      </c>
      <c r="E48" s="3468" t="str">
        <f>IF(H48="情况4","(销售额-原购置价)×税（费）率","销售额×税（费）率")</f>
        <v>销售额×税（费）率</v>
      </c>
      <c r="F48" s="2548">
        <f>IF(H48="情况1","免征",'数据-取费表'!B41)</f>
        <v>5.5000000000000007E-2</v>
      </c>
      <c r="G48" s="2549" t="s">
        <v>1339</v>
      </c>
      <c r="H48" s="2550"/>
      <c r="I48" s="1806"/>
      <c r="J48" s="3457">
        <v>3</v>
      </c>
      <c r="K48" s="3636" t="s">
        <v>1340</v>
      </c>
      <c r="L48" s="3636"/>
      <c r="M48" s="3658">
        <f ca="1">H101</f>
        <v>3656</v>
      </c>
      <c r="N48" s="3658"/>
      <c r="O48" s="3658"/>
    </row>
    <row r="49" spans="1:35" ht="25.5" customHeight="1">
      <c r="A49" s="3467" t="s">
        <v>1341</v>
      </c>
      <c r="B49" s="3572" t="s">
        <v>1342</v>
      </c>
      <c r="C49" s="3572"/>
      <c r="D49" s="1590">
        <v>0</v>
      </c>
      <c r="E49" s="324" t="s">
        <v>1343</v>
      </c>
      <c r="F49" s="3450" t="s">
        <v>28</v>
      </c>
      <c r="G49" s="3642"/>
      <c r="H49" s="2310" t="s">
        <v>2134</v>
      </c>
      <c r="I49" s="2311"/>
      <c r="J49" s="3457">
        <v>4</v>
      </c>
      <c r="K49" s="3636" t="str">
        <f>IF(项目基本情况!E8="房地产抵押价值","房地产抵押价值","抵押担保权已注销时的房地产抵押价值")</f>
        <v>房地产抵押价值</v>
      </c>
      <c r="L49" s="3636"/>
      <c r="M49" s="3658">
        <f ca="1">IF(项目基本情况!E8="房地产抵押价值",H107,H109)</f>
        <v>3656</v>
      </c>
      <c r="N49" s="3658"/>
      <c r="O49" s="3658"/>
    </row>
    <row r="50" spans="1:35" ht="25.5" customHeight="1">
      <c r="A50" s="2551"/>
      <c r="B50" s="3572" t="s">
        <v>1344</v>
      </c>
      <c r="C50" s="3572"/>
      <c r="D50" s="2552"/>
      <c r="E50" s="332"/>
      <c r="F50" s="3450"/>
      <c r="G50" s="3643"/>
      <c r="H50" s="2312" t="s">
        <v>2135</v>
      </c>
      <c r="I50" s="2311"/>
      <c r="J50" s="3655" t="s">
        <v>1345</v>
      </c>
      <c r="K50" s="3655"/>
      <c r="L50" s="3655"/>
      <c r="M50" s="3655"/>
      <c r="N50" s="3655"/>
      <c r="O50" s="3655"/>
    </row>
    <row r="51" spans="1:35" ht="20.45" customHeight="1">
      <c r="A51" s="2553"/>
      <c r="B51" s="3572" t="s">
        <v>1346</v>
      </c>
      <c r="C51" s="3572"/>
      <c r="D51" s="1087"/>
      <c r="E51" s="327"/>
      <c r="F51" s="3450"/>
      <c r="G51" s="3644"/>
      <c r="H51" s="2312" t="s">
        <v>2136</v>
      </c>
      <c r="I51" s="2311"/>
      <c r="J51" s="3451" t="s">
        <v>1347</v>
      </c>
      <c r="K51" s="3636" t="s">
        <v>1348</v>
      </c>
      <c r="L51" s="3636"/>
      <c r="M51" s="3451" t="s">
        <v>1349</v>
      </c>
      <c r="N51" s="3451" t="s">
        <v>1350</v>
      </c>
      <c r="O51" s="3451" t="s">
        <v>1351</v>
      </c>
    </row>
    <row r="52" spans="1:35" ht="24" customHeight="1">
      <c r="A52" s="3470" t="s">
        <v>1352</v>
      </c>
      <c r="B52" s="3572" t="s">
        <v>1353</v>
      </c>
      <c r="C52" s="3572"/>
      <c r="D52" s="1087">
        <f ca="1">ROUND(D45*'数据-取费表'!B41/(1+'数据-取费表'!C42),0)</f>
        <v>192</v>
      </c>
      <c r="E52" s="3468" t="s">
        <v>1354</v>
      </c>
      <c r="F52" s="2554">
        <f>'数据-取费表'!B41</f>
        <v>5.5000000000000007E-2</v>
      </c>
      <c r="G52" s="2555"/>
      <c r="H52" s="2544"/>
      <c r="I52" s="1807"/>
      <c r="J52" s="3457">
        <v>1</v>
      </c>
      <c r="K52" s="3637" t="s">
        <v>1355</v>
      </c>
      <c r="L52" s="3637"/>
      <c r="M52" s="2525" t="b">
        <f>D48</f>
        <v>0</v>
      </c>
      <c r="N52" s="3457" t="str">
        <f>E48</f>
        <v>销售额×税（费）率</v>
      </c>
      <c r="O52" s="2526">
        <f>F48</f>
        <v>5.5000000000000007E-2</v>
      </c>
    </row>
    <row r="53" spans="1:35" ht="12" customHeight="1">
      <c r="A53" s="3470" t="s">
        <v>1356</v>
      </c>
      <c r="B53" s="3598" t="s">
        <v>2291</v>
      </c>
      <c r="C53" s="3599"/>
      <c r="D53" s="1087">
        <f ca="1">ROUND(D45*'数据-取费表'!B41/(1+'数据-取费表'!C42),0)</f>
        <v>192</v>
      </c>
      <c r="E53" s="3468" t="s">
        <v>1354</v>
      </c>
      <c r="F53" s="2554">
        <f>'数据-取费表'!B41</f>
        <v>5.5000000000000007E-2</v>
      </c>
      <c r="G53" s="2555"/>
      <c r="H53" s="2544"/>
      <c r="I53" s="1807"/>
      <c r="J53" s="3457">
        <v>2</v>
      </c>
      <c r="K53" s="3637" t="s">
        <v>1357</v>
      </c>
      <c r="L53" s="3637"/>
      <c r="M53" s="2525">
        <f t="shared" ref="M53:O54" ca="1" si="0">D55</f>
        <v>2</v>
      </c>
      <c r="N53" s="3457" t="str">
        <f t="shared" si="0"/>
        <v>销售额×税（费）率</v>
      </c>
      <c r="O53" s="2526" t="str">
        <f t="shared" si="0"/>
        <v>免征</v>
      </c>
    </row>
    <row r="54" spans="1:35" ht="12" customHeight="1">
      <c r="A54" s="3470" t="s">
        <v>1358</v>
      </c>
      <c r="B54" s="3598" t="s">
        <v>2292</v>
      </c>
      <c r="C54" s="3599"/>
      <c r="D54" s="1087">
        <f ca="1">C68</f>
        <v>192</v>
      </c>
      <c r="E54" s="327" t="s">
        <v>1359</v>
      </c>
      <c r="F54" s="2554">
        <f>'数据-取费表'!B41</f>
        <v>5.5000000000000007E-2</v>
      </c>
      <c r="G54" s="2555"/>
      <c r="H54" s="2556"/>
      <c r="I54" s="1807"/>
      <c r="J54" s="3457">
        <v>3</v>
      </c>
      <c r="K54" s="3637" t="s">
        <v>1360</v>
      </c>
      <c r="L54" s="3637"/>
      <c r="M54" s="2525">
        <f t="shared" ca="1" si="0"/>
        <v>2073</v>
      </c>
      <c r="N54" s="3457" t="str">
        <f t="shared" si="0"/>
        <v>增值额×税（费）率</v>
      </c>
      <c r="O54" s="2527" t="str">
        <f t="shared" si="0"/>
        <v>免征</v>
      </c>
    </row>
    <row r="55" spans="1:35" ht="24" customHeight="1">
      <c r="A55" s="3587" t="s">
        <v>1361</v>
      </c>
      <c r="B55" s="3588"/>
      <c r="C55" s="3588"/>
      <c r="D55" s="3452">
        <f ca="1">IF(H55="个人住宅",0,ROUND(D45*I55,0))</f>
        <v>2</v>
      </c>
      <c r="E55" s="3468" t="s">
        <v>1362</v>
      </c>
      <c r="F55" s="2554" t="str">
        <f>IF(H55="正常",I55,"免征")</f>
        <v>免征</v>
      </c>
      <c r="G55" s="2555"/>
      <c r="H55" s="2550"/>
      <c r="I55" s="165">
        <f>'数据-取费表'!B49</f>
        <v>5.0000000000000001E-4</v>
      </c>
      <c r="J55" s="3457">
        <f>IF(H59="非个人房产","",4)</f>
        <v>4</v>
      </c>
      <c r="K55" s="3637" t="str">
        <f>IF(H59="非个人房产","——","个人所得税")</f>
        <v>个人所得税</v>
      </c>
      <c r="L55" s="3637"/>
      <c r="M55" s="2528">
        <f ca="1">D59</f>
        <v>35</v>
      </c>
      <c r="N55" s="3458" t="str">
        <f>E59</f>
        <v>差额计税</v>
      </c>
      <c r="O55" s="2529">
        <f>F59</f>
        <v>0.01</v>
      </c>
    </row>
    <row r="56" spans="1:35" ht="24.75">
      <c r="A56" s="3587" t="s">
        <v>1363</v>
      </c>
      <c r="B56" s="3588"/>
      <c r="C56" s="3588"/>
      <c r="D56" s="3452">
        <f ca="1">IF(H56="个人住宅",D57,D58)</f>
        <v>2073</v>
      </c>
      <c r="E56" s="3468" t="s">
        <v>1364</v>
      </c>
      <c r="F56" s="2554" t="str">
        <f>IF(H56="正常",F58,"免征")</f>
        <v>免征</v>
      </c>
      <c r="G56" s="2557" t="s">
        <v>1365</v>
      </c>
      <c r="H56" s="2558"/>
      <c r="I56" s="1808"/>
      <c r="J56" s="3457"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3470" t="s">
        <v>1341</v>
      </c>
      <c r="B57" s="3598" t="s">
        <v>1366</v>
      </c>
      <c r="C57" s="3599"/>
      <c r="D57" s="1590">
        <v>0</v>
      </c>
      <c r="E57" s="324" t="s">
        <v>1343</v>
      </c>
      <c r="F57" s="302"/>
      <c r="G57" s="2555"/>
      <c r="H57" s="2559"/>
      <c r="I57" s="1808"/>
      <c r="J57" s="3637">
        <f>IF(AND(J55="",J56=""),4,IF(项目基本情况!K6="上海银行",'结果表-商业'!J56+1,'结果表-商业'!J55+1))</f>
        <v>5</v>
      </c>
      <c r="K57" s="3637" t="s">
        <v>1367</v>
      </c>
      <c r="L57" s="2530" t="s">
        <v>1368</v>
      </c>
      <c r="M57" s="2531"/>
      <c r="N57" s="2532">
        <f ca="1">SUMIF(M52:M56,"&lt;9e307")</f>
        <v>2110</v>
      </c>
      <c r="O57" s="2533"/>
      <c r="P57" s="2690">
        <f ca="1">N57/M49</f>
        <v>0.57713347921225377</v>
      </c>
    </row>
    <row r="58" spans="1:35" ht="24.75">
      <c r="A58" s="3470" t="s">
        <v>1352</v>
      </c>
      <c r="B58" s="3598" t="s">
        <v>1369</v>
      </c>
      <c r="C58" s="3572"/>
      <c r="D58" s="3452">
        <f ca="1">IF(H58="转让取得",C81,C97)</f>
        <v>2073</v>
      </c>
      <c r="E58" s="3468" t="s">
        <v>1364</v>
      </c>
      <c r="F58" s="302" t="s">
        <v>28</v>
      </c>
      <c r="G58" s="2555"/>
      <c r="H58" s="2558"/>
      <c r="I58" s="1808"/>
      <c r="J58" s="3637"/>
      <c r="K58" s="3637"/>
      <c r="L58" s="2530" t="s">
        <v>1370</v>
      </c>
      <c r="M58" s="2534"/>
      <c r="N58" s="2535" t="str">
        <f ca="1">NUMBERSTRING(INT(N57*10000),2)&amp;"元整"</f>
        <v>贰仟壹佰壹拾万元整</v>
      </c>
      <c r="O58" s="2536"/>
    </row>
    <row r="59" spans="1:35" ht="24.75" thickBot="1">
      <c r="A59" s="3640" t="s">
        <v>1371</v>
      </c>
      <c r="B59" s="3641"/>
      <c r="C59" s="3641"/>
      <c r="D59" s="2560">
        <f ca="1">IF(H59="非个人房产","——",IF(H59="个人住宅（满五唯一有凭证）",0,IF(H59="个人其他（无凭证）",ROUND(D45*F59,0),ROUND(C67*F59,0))))</f>
        <v>35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3457" t="s">
        <v>1368</v>
      </c>
      <c r="M59" s="2537"/>
      <c r="N59" s="2538">
        <f ca="1">M49-N57</f>
        <v>1546</v>
      </c>
      <c r="O59" s="2539"/>
    </row>
    <row r="60" spans="1:35" ht="12" customHeight="1">
      <c r="A60" s="1809"/>
      <c r="B60" s="1747"/>
      <c r="C60" s="1747"/>
      <c r="D60" s="1747"/>
      <c r="E60" s="1578"/>
      <c r="F60" s="1808"/>
      <c r="G60" s="1808"/>
      <c r="H60" s="1810"/>
      <c r="I60" s="129"/>
      <c r="J60" s="3639"/>
      <c r="K60" s="3637"/>
      <c r="L60" s="2530" t="s">
        <v>1370</v>
      </c>
      <c r="M60" s="2534"/>
      <c r="N60" s="2535" t="str">
        <f ca="1">NUMBERSTRING(INT(N59*10000),2)&amp;"元整"</f>
        <v>壹仟伍佰肆拾陆万元整</v>
      </c>
      <c r="O60" s="2536"/>
    </row>
    <row r="61" spans="1:35" ht="13.5" thickBot="1">
      <c r="A61" s="3585" t="s">
        <v>1373</v>
      </c>
      <c r="B61" s="3585"/>
      <c r="C61" s="3585"/>
      <c r="D61" s="3585"/>
      <c r="E61" s="3585"/>
      <c r="F61" s="1808"/>
      <c r="G61" s="1808"/>
      <c r="H61" s="1810"/>
      <c r="I61" s="129"/>
      <c r="J61" s="3457">
        <f>J59+1</f>
        <v>7</v>
      </c>
      <c r="K61" s="3637" t="s">
        <v>1374</v>
      </c>
      <c r="L61" s="3637"/>
      <c r="M61" s="2540"/>
      <c r="N61" s="2541">
        <f ca="1">ROUND(N59*10000/'数据-汇总表'!E3,0)</f>
        <v>3072</v>
      </c>
      <c r="O61" s="2542"/>
    </row>
    <row r="62" spans="1:35" ht="12.75">
      <c r="A62" s="3603" t="s">
        <v>1375</v>
      </c>
      <c r="B62" s="3604"/>
      <c r="C62" s="3463"/>
      <c r="D62" s="3463" t="s">
        <v>1376</v>
      </c>
      <c r="E62" s="166" t="s">
        <v>1377</v>
      </c>
      <c r="F62" s="1808"/>
      <c r="G62" s="1808"/>
      <c r="H62" s="1810"/>
      <c r="I62" s="129"/>
    </row>
    <row r="63" spans="1:35" ht="12.75">
      <c r="A63" s="173" t="s">
        <v>330</v>
      </c>
      <c r="B63" s="167" t="s">
        <v>1378</v>
      </c>
      <c r="C63" s="2564">
        <f ca="1">ROUND((C64+C65)/(1+'数据-取费表'!C42),0)</f>
        <v>3482</v>
      </c>
      <c r="D63" s="167"/>
      <c r="E63" s="168"/>
      <c r="F63" s="1808"/>
      <c r="G63" s="1808"/>
      <c r="H63" s="1810"/>
      <c r="I63" s="129"/>
      <c r="J63" s="3662" t="s">
        <v>1379</v>
      </c>
      <c r="K63" s="3453" t="s">
        <v>1380</v>
      </c>
      <c r="L63" s="3453">
        <f ca="1">IF(M49&gt;10000,M49*0.5%,IF(AND(M49&gt;1000,M49&lt;=10000),M49*1%,IF(AND(M49&gt;100,M49&lt;=1000),M49*3%,IF(AND(M49&gt;10,M49&lt;=100),M49*5%,M49*8%))))</f>
        <v>36.56</v>
      </c>
      <c r="M63" s="302">
        <f ca="1">ROUND(L63,1)</f>
        <v>36.6</v>
      </c>
      <c r="N63" s="2543"/>
      <c r="Z63" s="1752"/>
      <c r="AI63" s="1753"/>
    </row>
    <row r="64" spans="1:35" ht="14.25" customHeight="1">
      <c r="A64" s="169" t="s">
        <v>325</v>
      </c>
      <c r="B64" s="170" t="s">
        <v>1381</v>
      </c>
      <c r="C64" s="2565">
        <f ca="1">D45</f>
        <v>3656</v>
      </c>
      <c r="D64" s="170" t="s">
        <v>26</v>
      </c>
      <c r="E64" s="172"/>
      <c r="F64" s="1808"/>
      <c r="G64" s="1808"/>
      <c r="H64" s="1810"/>
      <c r="I64" s="129"/>
      <c r="J64" s="3662"/>
      <c r="K64" s="3453" t="s">
        <v>1382</v>
      </c>
      <c r="L64" s="3453">
        <f ca="1">IF(M49&gt;2000,M49*0.5%,IF(AND(M49&gt;1000,M49&lt;=2000),M49*0.6%,IF(AND(M49&gt;500,M49&lt;=1000),M49*0.7%,IF(AND(M49&gt;200,M49&lt;=500),M49*0.8%,IF(AND(M49&gt;100,M49&lt;=200),M49*0.9%,IF(AND(M49&gt;50,M49&lt;=100),M49*1%,IF(AND(M49&gt;20,M49&lt;=50),M49*1.5%,IF(AND(M49&gt;10,M49&lt;=20),M49*2%,IF(AND(M49&gt;1,M49&lt;=10),M49*2.5%)))))))))</f>
        <v>18.28</v>
      </c>
      <c r="M64" s="302">
        <f t="shared" ref="M64:M65" ca="1" si="1">ROUND(L64,1)</f>
        <v>18.3</v>
      </c>
      <c r="N64" s="2544" t="s">
        <v>1383</v>
      </c>
      <c r="Z64" s="1752"/>
      <c r="AI64" s="1753"/>
    </row>
    <row r="65" spans="1:35" ht="14.25" customHeight="1">
      <c r="A65" s="169" t="s">
        <v>326</v>
      </c>
      <c r="B65" s="170" t="s">
        <v>1384</v>
      </c>
      <c r="C65" s="2566"/>
      <c r="D65" s="170"/>
      <c r="E65" s="172"/>
      <c r="F65" s="1808"/>
      <c r="G65" s="1808"/>
      <c r="H65" s="1810"/>
      <c r="I65" s="129"/>
      <c r="J65" s="3662"/>
      <c r="K65" s="3453" t="s">
        <v>1385</v>
      </c>
      <c r="L65" s="3453">
        <f ca="1">IF(M49&gt;1000,M49*0.1%,IF(AND(M49&gt;500,M49&lt;=1000),M49*0.5%,IF(AND(M49&gt;50,M49&lt;=500),M49*1%,IF(AND(M49&gt;1,M49&lt;=50),M49*1.5%))))</f>
        <v>3.6560000000000001</v>
      </c>
      <c r="M65" s="302">
        <f t="shared" ca="1" si="1"/>
        <v>3.7</v>
      </c>
      <c r="N65" s="2544" t="s">
        <v>1383</v>
      </c>
      <c r="Z65" s="1752"/>
      <c r="AI65" s="1753"/>
    </row>
    <row r="66" spans="1:35" ht="14.25" customHeight="1">
      <c r="A66" s="173" t="s">
        <v>327</v>
      </c>
      <c r="B66" s="174" t="s">
        <v>1386</v>
      </c>
      <c r="C66" s="2567"/>
      <c r="D66" s="174" t="s">
        <v>26</v>
      </c>
      <c r="E66" s="1338" t="s">
        <v>671</v>
      </c>
      <c r="F66" s="1808"/>
      <c r="G66" s="1808"/>
      <c r="H66" s="1810"/>
      <c r="I66" s="129"/>
      <c r="J66" s="3662"/>
      <c r="K66" s="3453" t="s">
        <v>1387</v>
      </c>
      <c r="L66" s="3453">
        <f ca="1">M49*0.5%</f>
        <v>18.28</v>
      </c>
      <c r="M66" s="302">
        <f ca="1">IF(L66&gt;0.5,0.5,ROUND(L66,0))</f>
        <v>0.5</v>
      </c>
      <c r="N66" s="2544" t="s">
        <v>1388</v>
      </c>
      <c r="Z66" s="1752"/>
      <c r="AI66" s="1753"/>
    </row>
    <row r="67" spans="1:35" ht="14.25" customHeight="1">
      <c r="A67" s="173" t="s">
        <v>328</v>
      </c>
      <c r="B67" s="174" t="s">
        <v>1389</v>
      </c>
      <c r="C67" s="2568">
        <f ca="1">C63-C66</f>
        <v>3482</v>
      </c>
      <c r="D67" s="170" t="s">
        <v>26</v>
      </c>
      <c r="E67" s="172"/>
      <c r="F67" s="1808"/>
      <c r="G67" s="1808"/>
      <c r="H67" s="1810"/>
      <c r="I67" s="129"/>
      <c r="J67" s="3662"/>
      <c r="K67" s="3453" t="s">
        <v>1390</v>
      </c>
      <c r="L67" s="3453">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192</v>
      </c>
      <c r="D68" s="2570">
        <f>'数据-取费表'!B41</f>
        <v>5.5000000000000007E-2</v>
      </c>
      <c r="E68" s="178"/>
      <c r="F68" s="1808"/>
      <c r="G68" s="1808"/>
      <c r="H68" s="1810"/>
      <c r="I68" s="129"/>
      <c r="J68" s="3662"/>
      <c r="K68" s="3453" t="s">
        <v>1392</v>
      </c>
      <c r="L68" s="3453">
        <f ca="1">IF(M49&gt;10000,M49*0.5%,IF(AND(M49&gt;5000,M49&lt;=10000),M49*1%,IF(AND(M49&gt;1000,M49&lt;=5000),M49*2%,IF(AND(M49&gt;200,M49&lt;=1000),M49*3%,M49*5%))))</f>
        <v>73.12</v>
      </c>
      <c r="M68" s="302">
        <f ca="1">ROUND(L68,1)</f>
        <v>73.099999999999994</v>
      </c>
      <c r="N68" s="2543"/>
      <c r="Z68" s="1752"/>
      <c r="AI68" s="1753"/>
    </row>
    <row r="69" spans="1:35" s="1772" customFormat="1" ht="16.5" customHeight="1">
      <c r="A69" s="1811"/>
      <c r="B69" s="1812"/>
      <c r="C69" s="1813"/>
      <c r="D69" s="1814"/>
      <c r="E69" s="1815"/>
      <c r="F69" s="1578"/>
      <c r="G69" s="1578"/>
      <c r="H69" s="1577"/>
      <c r="I69" s="1747"/>
      <c r="J69" s="3662"/>
      <c r="K69" s="3453" t="s">
        <v>1393</v>
      </c>
      <c r="L69" s="3453"/>
      <c r="M69" s="302">
        <f ca="1">ROUND(SUM(M63:M68),0)</f>
        <v>135</v>
      </c>
      <c r="N69" s="2545">
        <f ca="1">M69/M49</f>
        <v>3.6925601750547044E-2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3482</v>
      </c>
      <c r="D72" s="170" t="s">
        <v>26</v>
      </c>
      <c r="E72" s="3465"/>
      <c r="F72" s="3464"/>
      <c r="G72" s="3464"/>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v>
      </c>
      <c r="D73" s="170" t="s">
        <v>26</v>
      </c>
      <c r="E73" s="3465"/>
      <c r="F73" s="3464"/>
      <c r="G73" s="346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5"/>
      <c r="F74" s="3464"/>
      <c r="G74" s="346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v>
      </c>
      <c r="D78" s="2577">
        <f>'数据-取费表'!B43</f>
        <v>5.000000000000001E-3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3465</v>
      </c>
      <c r="D79" s="170" t="s">
        <v>26</v>
      </c>
      <c r="E79" s="3465"/>
      <c r="F79" s="3464"/>
      <c r="G79" s="346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203.8235294117647</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4"/>
      <c r="G80" s="346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2073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3482</v>
      </c>
      <c r="D85" s="170" t="s">
        <v>26</v>
      </c>
      <c r="E85" s="3465"/>
      <c r="F85" s="3464"/>
      <c r="G85" s="346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v>
      </c>
      <c r="D86" s="2581"/>
      <c r="E86" s="3465"/>
      <c r="F86" s="3464"/>
      <c r="G86" s="346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0"/>
      <c r="F87" s="3461"/>
      <c r="G87" s="3461"/>
      <c r="H87" s="346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1"/>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1"/>
      <c r="G89" s="3461"/>
      <c r="H89" s="346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1"/>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v>
      </c>
      <c r="D93" s="2577">
        <f>'数据-取费表'!B43</f>
        <v>5.000000000000001E-3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3465</v>
      </c>
      <c r="D95" s="170" t="s">
        <v>26</v>
      </c>
      <c r="E95" s="3465"/>
      <c r="F95" s="3464"/>
      <c r="G95" s="346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203.8235294117647</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4"/>
      <c r="G96" s="346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2073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成本法-商业</v>
      </c>
      <c r="D101" s="2586" t="str">
        <f>D4</f>
        <v>收益法-商业</v>
      </c>
      <c r="E101" s="3659" t="s">
        <v>1431</v>
      </c>
      <c r="F101" s="3616"/>
      <c r="G101" s="1827" t="s">
        <v>1432</v>
      </c>
      <c r="H101" s="2595">
        <f ca="1">H118</f>
        <v>3656</v>
      </c>
      <c r="I101" s="129"/>
    </row>
    <row r="102" spans="1:35" ht="18.75" customHeight="1">
      <c r="A102" s="3618" t="s">
        <v>1433</v>
      </c>
      <c r="B102" s="2584" t="s">
        <v>1432</v>
      </c>
      <c r="C102" s="2585">
        <f ca="1">IF(D32="楼面单价",ROUND(C19,0),C19)</f>
        <v>4774</v>
      </c>
      <c r="D102" s="2586">
        <f ca="1">IF(D32="楼面单价",ROUND(D19,0),D19)</f>
        <v>2910</v>
      </c>
      <c r="E102" s="3659"/>
      <c r="F102" s="3616"/>
      <c r="G102" s="1827" t="s">
        <v>1434</v>
      </c>
      <c r="H102" s="2555">
        <f ca="1">I118</f>
        <v>18140</v>
      </c>
      <c r="I102" s="129"/>
    </row>
    <row r="103" spans="1:35" ht="42.75" customHeight="1">
      <c r="A103" s="3618"/>
      <c r="B103" s="2584" t="s">
        <v>1434</v>
      </c>
      <c r="C103" s="2587">
        <f ca="1">C20</f>
        <v>23687</v>
      </c>
      <c r="D103" s="2588">
        <f ca="1">D20</f>
        <v>14438</v>
      </c>
      <c r="E103" s="3653" t="s">
        <v>1435</v>
      </c>
      <c r="F103" s="3654"/>
      <c r="G103" s="1828" t="s">
        <v>1436</v>
      </c>
      <c r="H103" s="2595">
        <f>IF(D36="正常操作",H104+H105+H106,H105+H106)</f>
        <v>0</v>
      </c>
      <c r="I103" s="129"/>
    </row>
    <row r="104" spans="1:35" ht="18.75" customHeight="1">
      <c r="A104" s="3618" t="s">
        <v>1437</v>
      </c>
      <c r="B104" s="2589" t="s">
        <v>1432</v>
      </c>
      <c r="C104" s="2590">
        <f ca="1">H118</f>
        <v>3656</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f ca="1">I118</f>
        <v>18140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f ca="1">IF(E107="——","——",H101-H103)</f>
        <v>3656</v>
      </c>
      <c r="I107" s="129"/>
    </row>
    <row r="108" spans="1:35" ht="18.75" customHeight="1">
      <c r="A108" s="129"/>
      <c r="B108" s="129"/>
      <c r="C108" s="129"/>
      <c r="D108" s="129"/>
      <c r="E108" s="3615"/>
      <c r="F108" s="3616"/>
      <c r="G108" s="1827" t="s">
        <v>1434</v>
      </c>
      <c r="H108" s="2555">
        <f ca="1">IF(H107=H101,H102,ROUND(H107*10000/'数据-汇总表'!E3,0))</f>
        <v>18140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3455" t="s">
        <v>1449</v>
      </c>
      <c r="E117" s="3455" t="s">
        <v>1450</v>
      </c>
      <c r="F117" s="3455" t="s">
        <v>1449</v>
      </c>
      <c r="G117" s="3455" t="s">
        <v>1451</v>
      </c>
      <c r="H117" s="3455" t="s">
        <v>1449</v>
      </c>
      <c r="I117" s="3455" t="s">
        <v>1451</v>
      </c>
    </row>
    <row r="118" spans="1:27" ht="24.75" customHeight="1">
      <c r="A118" s="2600" t="str">
        <f>项目基本情况!S2</f>
        <v>北京市房地产</v>
      </c>
      <c r="B118" s="3455">
        <f>M18</f>
        <v>2015.47</v>
      </c>
      <c r="C118" s="3455">
        <f>M19</f>
        <v>0</v>
      </c>
      <c r="D118" s="3455">
        <f ca="1">ROUND(IF(D32="总价",C34,E118*B118/10000),0)</f>
        <v>2563</v>
      </c>
      <c r="E118" s="3455">
        <f ca="1">ROUND(IF(C33="自定义",IF(D32="楼面单价",C34,D118*10000/B118),I118-G118),0)</f>
        <v>12717</v>
      </c>
      <c r="F118" s="3455">
        <f ca="1">ROUND(IF(D32="总价",C35,G118*B118/10000),0)</f>
        <v>1093</v>
      </c>
      <c r="G118" s="3455">
        <f ca="1">ROUND(IF(D32="楼面单价",C35,F118*10000/B118),0)</f>
        <v>5423</v>
      </c>
      <c r="H118" s="3455">
        <f ca="1">ROUND(IF(D32="总价",C32,I118*B118/10000),0)</f>
        <v>3656</v>
      </c>
      <c r="I118" s="3455">
        <f ca="1">ROUND(IF(D32="楼面单价",C32,H118*10000/B118),0)</f>
        <v>18140</v>
      </c>
    </row>
    <row r="119" spans="1:27" ht="18.75" customHeight="1">
      <c r="A119" s="3586" t="s">
        <v>1452</v>
      </c>
      <c r="B119" s="3586"/>
      <c r="C119" s="3586"/>
      <c r="D119" s="3626" t="str">
        <f ca="1">NUMBERSTRING(INT(D118*10000),2)&amp;"元整"</f>
        <v>贰仟伍佰陆拾叁万元整</v>
      </c>
      <c r="E119" s="3628"/>
      <c r="F119" s="3626" t="str">
        <f ca="1">NUMBERSTRING(INT(F118*10000),2)&amp;"元整"</f>
        <v>壹仟零玖拾叁万元整</v>
      </c>
      <c r="G119" s="3628"/>
      <c r="H119" s="3626" t="str">
        <f ca="1">NUMBERSTRING(INT(H118*10000),2)&amp;"元整"</f>
        <v>叁仟陆佰伍拾陆万元整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3656</v>
      </c>
      <c r="E122" s="3651"/>
      <c r="F122" s="3651"/>
      <c r="G122" s="3651"/>
      <c r="H122" s="3651"/>
      <c r="I122" s="3652"/>
      <c r="AA122" s="725"/>
    </row>
    <row r="123" spans="1:27" ht="18.75" customHeight="1">
      <c r="A123" s="3586" t="s">
        <v>1452</v>
      </c>
      <c r="B123" s="3586"/>
      <c r="C123" s="3586"/>
      <c r="D123" s="3626" t="str">
        <f ca="1">NUMBERSTRING(INT(D122*10000),2)&amp;"元整"</f>
        <v>叁仟陆佰伍拾陆万元整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7" sqref="K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7</v>
      </c>
    </row>
    <row r="2" spans="1:9" s="200" customFormat="1" ht="18" customHeight="1">
      <c r="A2" s="201" t="s">
        <v>685</v>
      </c>
      <c r="B2" s="202">
        <f ca="1">IF(D2="——",C52,C52-E2)</f>
        <v>4774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23687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2613</v>
      </c>
      <c r="D5" s="211" t="s">
        <v>1469</v>
      </c>
      <c r="E5" s="212" t="s">
        <v>1470</v>
      </c>
      <c r="F5" s="212" t="s">
        <v>1471</v>
      </c>
      <c r="G5" s="213"/>
    </row>
    <row r="6" spans="1:9" s="214" customFormat="1" ht="13.5" customHeight="1">
      <c r="A6" s="778" t="s">
        <v>1472</v>
      </c>
      <c r="B6" s="215" t="s">
        <v>1473</v>
      </c>
      <c r="C6" s="216">
        <f>'基准地价修正-商业'!B2</f>
        <v>2536</v>
      </c>
      <c r="D6" s="217"/>
      <c r="E6" s="218"/>
      <c r="F6" s="218"/>
      <c r="G6" s="219"/>
    </row>
    <row r="7" spans="1:9" s="214" customFormat="1" ht="13.5" customHeight="1">
      <c r="A7" s="778" t="s">
        <v>347</v>
      </c>
      <c r="B7" s="215" t="s">
        <v>1475</v>
      </c>
      <c r="C7" s="220">
        <f>ROUND(C6*F7,0)</f>
        <v>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2015.47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2015.47</v>
      </c>
      <c r="E19" s="211">
        <f>'数据-取费表'!B31</f>
        <v>200</v>
      </c>
      <c r="F19" s="231"/>
      <c r="G19" s="1856" t="s">
        <v>3415</v>
      </c>
    </row>
    <row r="20" spans="1:7" s="214" customFormat="1" ht="13.5" customHeight="1">
      <c r="A20" s="255" t="s">
        <v>1493</v>
      </c>
      <c r="B20" s="210" t="s">
        <v>1494</v>
      </c>
      <c r="C20" s="232">
        <f ca="1">ROUND((C5+C19)*F20,0)</f>
        <v>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349</v>
      </c>
      <c r="B23" s="215" t="s">
        <v>1503</v>
      </c>
      <c r="C23" s="1105">
        <f ca="1">ROUND(IF('数据-取费表'!B22&lt;=1,C5*F22*'数据-取费表'!B23,C5*(POWER((1+F22),'数据-取费表'!B23)-1)),0)</f>
        <v>221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533</v>
      </c>
      <c r="D27" s="235">
        <f ca="1">C29</f>
        <v>4.0000000000000001E-3</v>
      </c>
      <c r="E27" s="236" t="s">
        <v>1498</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533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1498</v>
      </c>
      <c r="E30" s="241"/>
      <c r="F30" s="237">
        <f>'数据-取费表'!B41</f>
        <v>5.5000000000000007E-2</v>
      </c>
      <c r="G30" s="234" t="s">
        <v>1520</v>
      </c>
    </row>
    <row r="31" spans="1:7" ht="16.5" customHeight="1">
      <c r="A31" s="209">
        <v>1</v>
      </c>
      <c r="B31" s="210" t="s">
        <v>1521</v>
      </c>
      <c r="C31" s="211">
        <f ca="1">ROUND((C5+C19+C20+C22+C27)/(1-C21-D22-D27-C30),0)</f>
        <v>3707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806</v>
      </c>
      <c r="D34" s="217"/>
      <c r="E34" s="220"/>
      <c r="F34" s="257">
        <f ca="1">IF('数据-取费表'!B24=0,1,IF(B1="",'数据-取费表'!N16,INDIRECT("'数据-取费表'!n"&amp;$G$1)))</f>
        <v>1</v>
      </c>
      <c r="G34" s="219" t="s">
        <v>1526</v>
      </c>
    </row>
    <row r="35" spans="1:7" ht="13.5" customHeight="1">
      <c r="A35" s="780" t="s">
        <v>351</v>
      </c>
      <c r="B35" s="215" t="s">
        <v>1527</v>
      </c>
      <c r="C35" s="220">
        <f ca="1">ROUND(C34*F35,0)</f>
        <v>24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40</v>
      </c>
      <c r="D37" s="217">
        <f ca="1">D19</f>
        <v>2015.47</v>
      </c>
      <c r="E37" s="249">
        <f>'数据-取费表'!B35</f>
        <v>200</v>
      </c>
      <c r="F37" s="259"/>
      <c r="G37" s="261" t="s">
        <v>1532</v>
      </c>
    </row>
    <row r="38" spans="1:7" ht="13.5" customHeight="1">
      <c r="A38" s="780" t="s">
        <v>354</v>
      </c>
      <c r="B38" s="215" t="s">
        <v>1533</v>
      </c>
      <c r="C38" s="220">
        <f ca="1">ROUND(C34*F38,0)</f>
        <v>12</v>
      </c>
      <c r="D38" s="220"/>
      <c r="E38" s="220"/>
      <c r="F38" s="259">
        <f>'数据-取费表'!B36</f>
        <v>1.4999999999999999E-2</v>
      </c>
      <c r="G38" s="219" t="s">
        <v>1528</v>
      </c>
    </row>
    <row r="39" spans="1:7" s="214" customFormat="1" ht="13.5" customHeight="1">
      <c r="A39" s="255" t="s">
        <v>1491</v>
      </c>
      <c r="B39" s="210" t="s">
        <v>1494</v>
      </c>
      <c r="C39" s="232">
        <f ca="1">ROUND(C33*F20,0)</f>
        <v>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1496</v>
      </c>
      <c r="B41" s="210" t="s">
        <v>1542</v>
      </c>
      <c r="C41" s="232">
        <f ca="1">ROUND(SUM(C42:C43),0)</f>
        <v>38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37</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1509</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180</v>
      </c>
      <c r="D45" s="235">
        <f ca="1">C47</f>
        <v>4.0000000000000001E-3</v>
      </c>
      <c r="E45" s="236" t="s">
        <v>1539</v>
      </c>
      <c r="F45" s="246">
        <f ca="1">F27</f>
        <v>0.2</v>
      </c>
      <c r="G45" s="247" t="s">
        <v>1548</v>
      </c>
    </row>
    <row r="46" spans="1:7" s="214" customFormat="1" ht="13.5" customHeight="1">
      <c r="A46" s="780" t="s">
        <v>346</v>
      </c>
      <c r="B46" s="248" t="s">
        <v>1549</v>
      </c>
      <c r="C46" s="249">
        <f ca="1">ROUND((C33+C39)*F27,0)</f>
        <v>180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1212</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1067</v>
      </c>
      <c r="D51" s="232"/>
      <c r="E51" s="232"/>
      <c r="F51" s="264"/>
      <c r="G51" s="234" t="s">
        <v>1560</v>
      </c>
    </row>
    <row r="52" spans="1:7" s="208" customFormat="1" ht="16.5" thickBot="1">
      <c r="A52" s="265" t="s">
        <v>1561</v>
      </c>
      <c r="B52" s="266"/>
      <c r="C52" s="267">
        <f ca="1">C31+C51</f>
        <v>4774</v>
      </c>
      <c r="D52" s="266"/>
      <c r="E52" s="266"/>
      <c r="F52" s="266"/>
      <c r="G52" s="268"/>
    </row>
    <row r="55" spans="1:7" ht="15">
      <c r="B55" s="270" t="s">
        <v>1562</v>
      </c>
      <c r="C55" s="271"/>
    </row>
    <row r="56" spans="1:7">
      <c r="B56" s="273" t="s">
        <v>802</v>
      </c>
      <c r="C56" s="275">
        <f ca="1">1-C57</f>
        <v>0.77600000000000002</v>
      </c>
    </row>
    <row r="57" spans="1:7">
      <c r="B57" s="273" t="s">
        <v>803</v>
      </c>
      <c r="C57" s="274">
        <f ca="1">ROUND(C51/C52,3)</f>
        <v>0.224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30.64</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2910</v>
      </c>
      <c r="C2" s="1387" t="s">
        <v>805</v>
      </c>
      <c r="D2" s="1387"/>
      <c r="E2" s="1388"/>
      <c r="F2" s="1389"/>
      <c r="G2" s="2706"/>
      <c r="H2" s="2695"/>
      <c r="I2" s="2695"/>
      <c r="J2" s="2695"/>
      <c r="K2" s="2696"/>
      <c r="L2" s="2695"/>
      <c r="M2" s="2695"/>
    </row>
    <row r="3" spans="1:37" ht="18" customHeight="1" thickBot="1">
      <c r="A3" s="1390" t="s">
        <v>806</v>
      </c>
      <c r="B3" s="1391">
        <f ca="1">IF(ISERROR(B2*10000/F43),0,ROUND(B2*10000/F43,0))</f>
        <v>14438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206</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206</v>
      </c>
      <c r="D6" s="155" t="s">
        <v>2109</v>
      </c>
      <c r="E6" s="302" t="s">
        <v>696</v>
      </c>
      <c r="F6" s="303">
        <f ca="1">INDIRECT("'数据-取费表'!u"&amp;$G$1)</f>
        <v>3.5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3454" t="s">
        <v>697</v>
      </c>
      <c r="F7" s="303">
        <f ca="1">IF(INDIRECT("'数据-取费表'!ah"&amp;$G$1)="",INDIRECT("'数据-取费表'!k"&amp;$G$1),INDIRECT("'数据-取费表'!ah"&amp;$G$1))</f>
        <v>2015.47</v>
      </c>
      <c r="G7" s="1384"/>
      <c r="H7" s="304"/>
      <c r="I7" s="3672"/>
      <c r="J7" s="306"/>
      <c r="K7" s="307"/>
      <c r="L7" s="302" t="s">
        <v>697</v>
      </c>
      <c r="M7" s="303">
        <f ca="1">F7</f>
        <v>2015.47</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0.2</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1067</v>
      </c>
      <c r="D13" s="3448" t="s">
        <v>705</v>
      </c>
      <c r="E13" s="3448"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806</v>
      </c>
      <c r="D14" s="3465" t="s">
        <v>708</v>
      </c>
      <c r="E14" s="3464"/>
      <c r="F14" s="319"/>
      <c r="G14" s="1384"/>
      <c r="H14" s="982" t="s">
        <v>398</v>
      </c>
      <c r="I14" s="302" t="s">
        <v>709</v>
      </c>
      <c r="J14" s="21">
        <f ca="1">C29</f>
        <v>1212</v>
      </c>
      <c r="K14" s="3452"/>
      <c r="L14" s="807"/>
      <c r="M14" s="808"/>
    </row>
    <row r="15" spans="1:37" s="1397" customFormat="1" ht="18" customHeight="1" thickBot="1">
      <c r="A15" s="982" t="s">
        <v>399</v>
      </c>
      <c r="B15" s="302" t="s">
        <v>710</v>
      </c>
      <c r="C15" s="21">
        <f ca="1">ROUND(C14*F15,0)</f>
        <v>24</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3469"/>
      <c r="M16" s="1072"/>
    </row>
    <row r="17" spans="1:37" s="1397" customFormat="1" ht="18" customHeight="1">
      <c r="A17" s="982" t="s">
        <v>681</v>
      </c>
      <c r="B17" s="302" t="s">
        <v>716</v>
      </c>
      <c r="C17" s="21">
        <f ca="1">ROUND(F17*(F43+INDIRECT("'数据-取费表'!S"&amp;$G$1))/10000,0)</f>
        <v>40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65" t="s">
        <v>720</v>
      </c>
      <c r="L17" s="3468"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882</v>
      </c>
      <c r="D19" s="131" t="s">
        <v>726</v>
      </c>
      <c r="E19" s="3474"/>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v>
      </c>
      <c r="D20" s="2428"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12.12</v>
      </c>
      <c r="K22" s="3468"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8"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-12</v>
      </c>
      <c r="K25" s="1095" t="s">
        <v>753</v>
      </c>
      <c r="L25" s="1096"/>
      <c r="M25" s="1097"/>
    </row>
    <row r="26" spans="1:37">
      <c r="A26" s="982" t="s">
        <v>397</v>
      </c>
      <c r="B26" s="302" t="s">
        <v>754</v>
      </c>
      <c r="C26" s="21">
        <f ca="1">ROUND((C19+C20)*F26,0)</f>
        <v>180</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8"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1212</v>
      </c>
      <c r="D29" s="1092"/>
      <c r="E29" s="1090"/>
      <c r="F29" s="1093"/>
      <c r="G29" s="1396"/>
      <c r="H29" s="334" t="s">
        <v>396</v>
      </c>
      <c r="I29" s="335" t="s">
        <v>768</v>
      </c>
      <c r="J29" s="336">
        <f ca="1">ROUND(J26/(1+F40)^F41,0)</f>
        <v>0</v>
      </c>
      <c r="K29" s="337" t="s">
        <v>769</v>
      </c>
      <c r="L29" s="338"/>
      <c r="M29" s="339">
        <f ca="1">INDIRECT("'数据-取费表'!k"&amp;$G$1)</f>
        <v>2015.47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v>
      </c>
      <c r="D30" s="1087" t="s">
        <v>715</v>
      </c>
      <c r="E30" s="3469"/>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34.33</v>
      </c>
      <c r="D31" s="3465" t="s">
        <v>720</v>
      </c>
      <c r="E31" s="3468"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10.79</v>
      </c>
      <c r="D32" s="3468"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23.54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12.12</v>
      </c>
      <c r="D36" s="3468"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1.07</v>
      </c>
      <c r="D37" s="3468"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2.06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2864</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30.64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14210</v>
      </c>
      <c r="D43" s="337" t="s">
        <v>777</v>
      </c>
      <c r="E43" s="338" t="s">
        <v>778</v>
      </c>
      <c r="F43" s="339">
        <f ca="1">INDIRECT("'数据-取费表'!k"&amp;$G$1)</f>
        <v>2015.47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-3044</v>
      </c>
      <c r="D46" s="1406" t="str">
        <f>C2</f>
        <v>万元</v>
      </c>
      <c r="E46" s="1400"/>
      <c r="F46" s="1400"/>
      <c r="I46" s="1407" t="s">
        <v>810</v>
      </c>
      <c r="J46" s="1408"/>
      <c r="K46" s="1409"/>
      <c r="L46" s="1410">
        <f ca="1">IF(M47="住宅",0,IF(L48&gt;J51,L60,J60))</f>
        <v>46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2864</v>
      </c>
      <c r="R47" s="1420" t="s">
        <v>818</v>
      </c>
    </row>
    <row r="48" spans="1:18" s="1384" customFormat="1" ht="28.5" thickBot="1">
      <c r="A48" s="1110" t="s">
        <v>438</v>
      </c>
      <c r="B48" s="300" t="s">
        <v>692</v>
      </c>
      <c r="C48" s="3473">
        <f ca="1">C49+C53+C55</f>
        <v>0</v>
      </c>
      <c r="D48" s="1112"/>
      <c r="E48" s="1113"/>
      <c r="F48" s="962"/>
      <c r="G48" s="722"/>
      <c r="H48" s="723"/>
      <c r="I48" s="1421" t="s">
        <v>819</v>
      </c>
      <c r="J48" s="1422" t="s">
        <v>3391</v>
      </c>
      <c r="K48" s="1423" t="s">
        <v>820</v>
      </c>
      <c r="L48" s="1424">
        <f ca="1">INDIRECT("'数据-取费表'!f"&amp;$G$1)</f>
        <v>30.64</v>
      </c>
      <c r="O48" s="1418" t="s">
        <v>404</v>
      </c>
      <c r="P48" s="1419" t="s">
        <v>821</v>
      </c>
      <c r="Q48" s="1420">
        <f ca="1">J60</f>
        <v>46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1212</v>
      </c>
      <c r="R49" s="1420" t="s">
        <v>818</v>
      </c>
    </row>
    <row r="50" spans="1:18" s="1384" customFormat="1" ht="13.5" thickBot="1">
      <c r="A50" s="976"/>
      <c r="B50" s="979"/>
      <c r="C50" s="1118"/>
      <c r="D50" s="953"/>
      <c r="E50" s="1056" t="s">
        <v>697</v>
      </c>
      <c r="F50" s="1057">
        <f ca="1">F7</f>
        <v>2015.47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1300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30.64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30.64</v>
      </c>
      <c r="K53" s="3669" t="s">
        <v>837</v>
      </c>
      <c r="L53" s="3670"/>
      <c r="O53" s="1418" t="s">
        <v>409</v>
      </c>
      <c r="P53" s="1419" t="s">
        <v>838</v>
      </c>
      <c r="Q53" s="1420">
        <f ca="1">Q47+Q48</f>
        <v>2910</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1067</v>
      </c>
      <c r="D56" s="1447"/>
      <c r="E56" s="1448"/>
      <c r="F56" s="1440"/>
      <c r="I56" s="1449" t="s">
        <v>842</v>
      </c>
      <c r="J56" s="1450" t="s">
        <v>3392</v>
      </c>
      <c r="K56" s="1421" t="s">
        <v>843</v>
      </c>
      <c r="L56" s="1424" t="str">
        <f ca="1">IF(L48&lt;J51,"——",L48-J53)</f>
        <v>——</v>
      </c>
      <c r="O56" s="1418" t="s">
        <v>403</v>
      </c>
      <c r="P56" s="1419" t="s">
        <v>817</v>
      </c>
      <c r="Q56" s="1420">
        <f ca="1">C40+J29</f>
        <v>2864</v>
      </c>
      <c r="R56" s="1420" t="s">
        <v>818</v>
      </c>
    </row>
    <row r="57" spans="1:18" s="1384" customFormat="1" ht="24.75" thickBot="1">
      <c r="A57" s="1451"/>
      <c r="B57" s="950" t="s">
        <v>767</v>
      </c>
      <c r="C57" s="238">
        <f ca="1">C29</f>
        <v>1212</v>
      </c>
      <c r="D57" s="1452"/>
      <c r="E57" s="1453"/>
      <c r="F57" s="1454"/>
      <c r="I57" s="1455" t="s">
        <v>844</v>
      </c>
      <c r="J57" s="1456">
        <f ca="1">IF(OR(M47="住宅",J51&lt;L48,J56="是"),"——",J51-L48)</f>
        <v>22.36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731</v>
      </c>
      <c r="E62" s="950" t="s">
        <v>732</v>
      </c>
      <c r="F62" s="325">
        <f t="shared" si="0"/>
        <v>1.5</v>
      </c>
      <c r="I62" s="1462" t="s">
        <v>858</v>
      </c>
      <c r="J62" s="1463" t="s">
        <v>859</v>
      </c>
      <c r="K62" s="1463" t="s">
        <v>860</v>
      </c>
      <c r="L62" s="1463" t="s">
        <v>861</v>
      </c>
      <c r="M62" s="1464" t="s">
        <v>862</v>
      </c>
      <c r="O62" s="1418" t="s">
        <v>409</v>
      </c>
      <c r="P62" s="1419" t="s">
        <v>863</v>
      </c>
      <c r="Q62" s="1420">
        <f ca="1">Q56+Q57</f>
        <v>2864</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12.12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1.07</v>
      </c>
      <c r="D65" s="964" t="s">
        <v>743</v>
      </c>
      <c r="E65" s="950" t="s">
        <v>744</v>
      </c>
      <c r="F65" s="330">
        <f t="shared" ca="1" si="0"/>
        <v>1E-3</v>
      </c>
      <c r="I65" s="1462" t="s">
        <v>867</v>
      </c>
      <c r="J65" s="1463">
        <v>40</v>
      </c>
      <c r="K65" s="1463">
        <v>30</v>
      </c>
      <c r="L65" s="1463">
        <v>50</v>
      </c>
      <c r="M65" s="1465">
        <v>0.02</v>
      </c>
      <c r="O65" s="1418" t="s">
        <v>403</v>
      </c>
      <c r="P65" s="1419" t="s">
        <v>817</v>
      </c>
      <c r="Q65" s="1420">
        <f ca="1">C40+J29</f>
        <v>2864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1300</v>
      </c>
      <c r="R67" s="1420" t="s">
        <v>870</v>
      </c>
    </row>
    <row r="68" spans="1:18" s="1384" customFormat="1" ht="16.5" thickBot="1">
      <c r="A68" s="947" t="s">
        <v>395</v>
      </c>
      <c r="B68" s="948" t="s">
        <v>774</v>
      </c>
      <c r="C68" s="301">
        <f ca="1">ROUND(C67*(1-((1+F70)/(1+F68))^F69)/(F68-F70),0)</f>
        <v>-180</v>
      </c>
      <c r="D68" s="965" t="s">
        <v>758</v>
      </c>
      <c r="E68" s="950" t="s">
        <v>759</v>
      </c>
      <c r="F68" s="312">
        <f ca="1">F40</f>
        <v>0.06</v>
      </c>
      <c r="O68" s="1428" t="s">
        <v>406</v>
      </c>
      <c r="P68" s="1467" t="s">
        <v>871</v>
      </c>
      <c r="Q68" s="1420">
        <f ca="1">ROUND(Q69-Q70*Q71,0)</f>
        <v>76</v>
      </c>
      <c r="R68" s="1420" t="s">
        <v>414</v>
      </c>
    </row>
    <row r="69" spans="1:18" s="1384" customFormat="1" ht="13.5" thickBot="1">
      <c r="A69" s="951"/>
      <c r="B69" s="952"/>
      <c r="C69" s="306"/>
      <c r="D69" s="970" t="s">
        <v>762</v>
      </c>
      <c r="E69" s="950" t="s">
        <v>763</v>
      </c>
      <c r="F69" s="333">
        <f ca="1">F41</f>
        <v>30.64</v>
      </c>
      <c r="O69" s="1428" t="s">
        <v>411</v>
      </c>
      <c r="P69" s="1467" t="s">
        <v>872</v>
      </c>
      <c r="Q69" s="1420">
        <f ca="1">C39</f>
        <v>156</v>
      </c>
      <c r="R69" s="1420" t="s">
        <v>818</v>
      </c>
    </row>
    <row r="70" spans="1:18" s="1384" customFormat="1" ht="13.5" thickBot="1">
      <c r="A70" s="954"/>
      <c r="B70" s="955"/>
      <c r="C70" s="310"/>
      <c r="D70" s="966"/>
      <c r="E70" s="950" t="s">
        <v>766</v>
      </c>
      <c r="F70" s="1054"/>
      <c r="O70" s="1428" t="s">
        <v>412</v>
      </c>
      <c r="P70" s="1467" t="s">
        <v>873</v>
      </c>
      <c r="Q70" s="1420">
        <f ca="1">C13</f>
        <v>1067</v>
      </c>
      <c r="R70" s="1420" t="s">
        <v>818</v>
      </c>
    </row>
    <row r="71" spans="1:18" s="1384" customFormat="1" ht="13.5" thickBot="1">
      <c r="A71" s="971" t="s">
        <v>396</v>
      </c>
      <c r="B71" s="972" t="s">
        <v>776</v>
      </c>
      <c r="C71" s="336">
        <f ca="1">ROUND(C68*10000/F71,0)</f>
        <v>-893</v>
      </c>
      <c r="D71" s="973" t="s">
        <v>777</v>
      </c>
      <c r="E71" s="974" t="s">
        <v>778</v>
      </c>
      <c r="F71" s="339">
        <f ca="1">F43</f>
        <v>2015.47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80</v>
      </c>
      <c r="D75" s="1384"/>
      <c r="E75" s="1384"/>
      <c r="F75" s="1384"/>
      <c r="K75" s="1402"/>
      <c r="L75" s="1384"/>
      <c r="O75" s="1418" t="s">
        <v>409</v>
      </c>
      <c r="P75" s="1419" t="s">
        <v>838</v>
      </c>
      <c r="Q75" s="1420">
        <f ca="1">Q65+Q66</f>
        <v>2864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0.48699999999999999</v>
      </c>
    </row>
    <row r="80" spans="1:18">
      <c r="B80" s="340" t="s">
        <v>800</v>
      </c>
      <c r="C80" s="274">
        <f ca="1">ROUND(C75/C39,3)</f>
        <v>0.51300000000000001</v>
      </c>
    </row>
    <row r="81" spans="2:3">
      <c r="B81" s="270" t="s">
        <v>801</v>
      </c>
      <c r="C81" s="238"/>
    </row>
    <row r="82" spans="2:3">
      <c r="B82" s="273" t="s">
        <v>802</v>
      </c>
      <c r="C82" s="275">
        <f ca="1">1-C83</f>
        <v>0.627</v>
      </c>
    </row>
    <row r="83" spans="2:3">
      <c r="B83" s="273" t="s">
        <v>803</v>
      </c>
      <c r="C83" s="274">
        <f ca="1">ROUND(C13/C40,3)</f>
        <v>0.373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4706</v>
      </c>
      <c r="E5" s="1491"/>
    </row>
    <row r="6" spans="1:5" ht="15.75">
      <c r="A6" s="1491"/>
      <c r="B6" s="3485"/>
      <c r="C6" s="1494" t="s">
        <v>911</v>
      </c>
      <c r="D6" s="850" t="str">
        <f ca="1">NUMBERSTRING(INT(D5*10000),2)&amp;"元整"</f>
        <v>肆仟柒佰零陆万元整</v>
      </c>
      <c r="E6" s="1491"/>
    </row>
    <row r="7" spans="1:5" ht="15.75">
      <c r="A7" s="1491"/>
      <c r="B7" s="3490"/>
      <c r="C7" s="1495" t="s">
        <v>912</v>
      </c>
      <c r="D7" s="851">
        <f ca="1">结果表!H102</f>
        <v>15594</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4706</v>
      </c>
      <c r="E13" s="1491"/>
    </row>
    <row r="14" spans="1:5" ht="15.75">
      <c r="A14" s="1491"/>
      <c r="B14" s="3485"/>
      <c r="C14" s="1494" t="s">
        <v>911</v>
      </c>
      <c r="D14" s="850" t="str">
        <f ca="1">NUMBERSTRING(INT(D13*10000),2)&amp;"元整"</f>
        <v>肆仟柒佰零陆万元整</v>
      </c>
      <c r="E14" s="1491"/>
    </row>
    <row r="15" spans="1:5" ht="15">
      <c r="A15" s="1491"/>
      <c r="B15" s="3490"/>
      <c r="C15" s="1495" t="s">
        <v>921</v>
      </c>
      <c r="D15" s="859">
        <f ca="1">结果表!H108</f>
        <v>15594</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A2" sqref="A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2536</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12585</v>
      </c>
      <c r="U2" s="1213">
        <f>'数据-汇总表'!F20</f>
        <v>2015.47</v>
      </c>
      <c r="V2" s="3361">
        <f>ROUND(T2*U2/10000,0)</f>
        <v>2536</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3399</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9920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8384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8704</v>
      </c>
      <c r="D5" s="1339">
        <f>ROUND(C6*C17+C20,0)</f>
        <v>8704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7394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7106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3463"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8740</v>
      </c>
      <c r="N7" s="866">
        <f>SUMPRODUCT((因素修正幅度!B190:B233=I2)*(因素修正幅度!C3:G3=E2)*(因素修正幅度!C190:G233))</f>
        <v>0.13</v>
      </c>
      <c r="O7" s="1119"/>
      <c r="P7" s="1119"/>
      <c r="Q7" s="1119"/>
      <c r="R7" s="1212">
        <v>6</v>
      </c>
      <c r="S7" s="3419"/>
      <c r="T7" s="3361">
        <f t="shared" si="0"/>
        <v>0</v>
      </c>
      <c r="U7" s="1213"/>
      <c r="V7" s="3361">
        <f t="shared" si="1"/>
        <v>0</v>
      </c>
      <c r="W7" s="3476" t="s">
        <v>1955</v>
      </c>
      <c r="X7" s="1214" t="str">
        <f>G2</f>
        <v>七级</v>
      </c>
      <c r="Y7" s="1214" t="s">
        <v>1956</v>
      </c>
      <c r="Z7" s="1215" t="e">
        <f>G3</f>
        <v>#DIV/0!</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58"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59"/>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57"/>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44943</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0.91339999999999999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30.64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3472">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3471" t="e">
        <f>IF(E26=G26,F26,IF(G3&lt;10,ROUND(F26+(H26-F26)*(G3-E26)/(G26-E26),4),"——"))</f>
        <v>#DIV/0!</v>
      </c>
      <c r="E26" s="752" t="e">
        <f>ROUNDDOWN(G3,1)</f>
        <v>#DIV/0!</v>
      </c>
      <c r="F26" s="34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34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3264</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2536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12585</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5028</v>
      </c>
      <c r="D37" s="2098"/>
      <c r="E37" s="171">
        <f>ROUND(C37*D37/10000,0)</f>
        <v>0</v>
      </c>
      <c r="F37" s="171">
        <f>SUMIF(修正!A57:A68,G2,修正!B57:B68)</f>
        <v>0.6</v>
      </c>
      <c r="G37" s="171">
        <f>ROUND(IF(E2="工业",C37*$M$42,C37*$M$41),0)</f>
        <v>1257</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2514</v>
      </c>
      <c r="D38" s="2098"/>
      <c r="E38" s="171">
        <f t="shared" ref="E38:E42" si="4">ROUND(C38*D38/10000,0)</f>
        <v>0</v>
      </c>
      <c r="F38" s="171">
        <f>SUMIF(修正!A57:A68,G2,修正!C57:C68)</f>
        <v>0.3</v>
      </c>
      <c r="G38" s="171">
        <f>ROUND(IF(E2="工业",C38*$M$42,C38*$M$41),0)</f>
        <v>629</v>
      </c>
      <c r="H38" s="171">
        <f t="shared" ref="H38:H42" si="5">D38</f>
        <v>0</v>
      </c>
      <c r="I38" s="171">
        <f t="shared" ref="I38:I42" si="6">ROUND(G38*H38/10000,0)</f>
        <v>0</v>
      </c>
      <c r="J38" s="3479"/>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2095</v>
      </c>
      <c r="D39" s="2098"/>
      <c r="E39" s="171">
        <f t="shared" si="4"/>
        <v>0</v>
      </c>
      <c r="F39" s="171">
        <f>SUMIF(修正!A57:A68,G2,修正!D57:D68)</f>
        <v>0.25</v>
      </c>
      <c r="G39" s="171">
        <f>ROUND(IF(E2="工业",C39*$M$42,C39*$M$41),0)</f>
        <v>524</v>
      </c>
      <c r="H39" s="171">
        <f t="shared" si="5"/>
        <v>0</v>
      </c>
      <c r="I39" s="171">
        <f t="shared" si="6"/>
        <v>0</v>
      </c>
      <c r="J39" s="347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2095</v>
      </c>
      <c r="D40" s="2098"/>
      <c r="E40" s="171">
        <f t="shared" si="4"/>
        <v>0</v>
      </c>
      <c r="F40" s="175">
        <f>SUMIF(修正!A57:A68,G2,修正!E57:E68)</f>
        <v>0.25</v>
      </c>
      <c r="G40" s="171">
        <f>ROUND(IF(E2="工业",C40*$M$42,C40*$M$41),0)</f>
        <v>524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1.0246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f>ROUND(SUM(D50:D58),4)</f>
        <v>2.46E-2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7">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t="str">
        <f t="shared" ref="G62:G69" si="18">H62</f>
        <v>——</v>
      </c>
      <c r="H62" s="1066" t="str">
        <f t="shared" si="14"/>
        <v>——</v>
      </c>
      <c r="I62" s="3367">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t="e">
        <f t="shared" si="13"/>
        <v>#VALUE!</v>
      </c>
      <c r="E63" s="745"/>
      <c r="F63" s="1814"/>
      <c r="G63" s="1063" t="str">
        <f t="shared" si="18"/>
        <v>——</v>
      </c>
      <c r="H63" s="1066" t="str">
        <f t="shared" si="14"/>
        <v>——</v>
      </c>
      <c r="I63" s="3367">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t="e">
        <f t="shared" si="13"/>
        <v>#VALUE!</v>
      </c>
      <c r="E64" s="745"/>
      <c r="F64" s="1814"/>
      <c r="G64" s="1063" t="str">
        <f t="shared" si="18"/>
        <v>——</v>
      </c>
      <c r="H64" s="1066" t="str">
        <f t="shared" si="14"/>
        <v>——</v>
      </c>
      <c r="I64" s="3367">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t="str">
        <f t="shared" si="18"/>
        <v>——</v>
      </c>
      <c r="H65" s="1066" t="str">
        <f t="shared" si="14"/>
        <v>——</v>
      </c>
      <c r="I65" s="3367">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t="e">
        <f t="shared" si="13"/>
        <v>#VALUE!</v>
      </c>
      <c r="E66" s="745"/>
      <c r="F66" s="1814"/>
      <c r="G66" s="1063" t="str">
        <f t="shared" si="18"/>
        <v>——</v>
      </c>
      <c r="H66" s="1066" t="str">
        <f t="shared" si="14"/>
        <v>——</v>
      </c>
      <c r="I66" s="3367">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t="str">
        <f t="shared" si="18"/>
        <v>——</v>
      </c>
      <c r="H67" s="1066" t="str">
        <f t="shared" si="14"/>
        <v>——</v>
      </c>
      <c r="I67" s="3367">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t="e">
        <f t="shared" si="13"/>
        <v>#VALUE!</v>
      </c>
      <c r="E68" s="745"/>
      <c r="F68" s="1814"/>
      <c r="G68" s="1063" t="str">
        <f t="shared" si="18"/>
        <v>——</v>
      </c>
      <c r="H68" s="1066" t="str">
        <f t="shared" si="14"/>
        <v>——</v>
      </c>
      <c r="I68" s="3367">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t="str">
        <f t="shared" si="18"/>
        <v>——</v>
      </c>
      <c r="H69" s="1066" t="str">
        <f t="shared" si="14"/>
        <v>——</v>
      </c>
      <c r="I69" s="3368">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3275</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2046</v>
      </c>
      <c r="D92" s="3366" t="s">
        <v>3287</v>
      </c>
      <c r="E92" s="3348" t="s">
        <v>3288</v>
      </c>
      <c r="F92" s="3381" t="s">
        <v>3289</v>
      </c>
      <c r="G92" s="3366" t="s">
        <v>1989</v>
      </c>
      <c r="H92" s="3388" t="s">
        <v>3293</v>
      </c>
      <c r="I92" s="3366" t="s">
        <v>2051</v>
      </c>
      <c r="J92" s="3389" t="s">
        <v>3295</v>
      </c>
      <c r="K92" s="3389" t="s">
        <v>3296</v>
      </c>
      <c r="L92" s="3389" t="s">
        <v>3297</v>
      </c>
      <c r="M92" s="3389" t="s">
        <v>1724</v>
      </c>
      <c r="N92" s="3389" t="s">
        <v>1725</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477"/>
      <c r="L103" s="3477"/>
      <c r="M103" s="3477"/>
      <c r="N103" s="3477"/>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478" t="s">
        <v>1961</v>
      </c>
      <c r="D105" s="3478" t="s">
        <v>3305</v>
      </c>
      <c r="E105" s="3478" t="s">
        <v>3306</v>
      </c>
      <c r="F105" s="3478" t="s">
        <v>1964</v>
      </c>
      <c r="G105" s="3478" t="s">
        <v>3308</v>
      </c>
      <c r="H105" s="3478" t="s">
        <v>3309</v>
      </c>
      <c r="I105" s="3478" t="s">
        <v>3310</v>
      </c>
      <c r="J105" s="3478" t="s">
        <v>1968</v>
      </c>
      <c r="K105" s="3478" t="s">
        <v>1969</v>
      </c>
      <c r="L105" s="3478" t="s">
        <v>3313</v>
      </c>
      <c r="M105" s="3478" t="s">
        <v>3314</v>
      </c>
      <c r="N105" s="3478" t="s">
        <v>3315</v>
      </c>
    </row>
    <row r="106" spans="1:14">
      <c r="A106" s="3771" t="s">
        <v>3316</v>
      </c>
      <c r="B106" s="3478">
        <v>1</v>
      </c>
      <c r="C106" s="3478">
        <v>1.5206</v>
      </c>
      <c r="D106" s="3478">
        <v>1.5206</v>
      </c>
      <c r="E106" s="3478">
        <v>1.5019</v>
      </c>
      <c r="F106" s="3478">
        <v>1.5019</v>
      </c>
      <c r="G106" s="3478">
        <v>1.5019</v>
      </c>
      <c r="H106" s="3478">
        <v>1.5019</v>
      </c>
      <c r="I106" s="3478">
        <v>1.5019</v>
      </c>
      <c r="J106" s="3478">
        <v>1.5418000000000001</v>
      </c>
      <c r="K106" s="3478">
        <v>1.5418000000000001</v>
      </c>
      <c r="L106" s="3478">
        <v>1.5418000000000001</v>
      </c>
      <c r="M106" s="3478">
        <v>1.5418000000000001</v>
      </c>
      <c r="N106" s="3478">
        <v>1.5418000000000001</v>
      </c>
    </row>
    <row r="107" spans="1:14">
      <c r="A107" s="3772"/>
      <c r="B107" s="3478">
        <v>2</v>
      </c>
      <c r="C107" s="3478">
        <v>1.2072000000000001</v>
      </c>
      <c r="D107" s="3478">
        <v>1.2072000000000001</v>
      </c>
      <c r="E107" s="3478">
        <v>1.1838</v>
      </c>
      <c r="F107" s="3478">
        <v>1.1838</v>
      </c>
      <c r="G107" s="3478">
        <v>1.1838</v>
      </c>
      <c r="H107" s="3478">
        <v>1.1838</v>
      </c>
      <c r="I107" s="3478">
        <v>1.1838</v>
      </c>
      <c r="J107" s="3478">
        <v>1.1883999999999999</v>
      </c>
      <c r="K107" s="3478">
        <v>1.1883999999999999</v>
      </c>
      <c r="L107" s="3478">
        <v>1.1883999999999999</v>
      </c>
      <c r="M107" s="3478">
        <v>1.1883999999999999</v>
      </c>
      <c r="N107" s="3478">
        <v>1.1883999999999999</v>
      </c>
    </row>
    <row r="108" spans="1:14">
      <c r="A108" s="3772"/>
      <c r="B108" s="3478">
        <v>3</v>
      </c>
      <c r="C108" s="3478">
        <v>1.0430999999999999</v>
      </c>
      <c r="D108" s="3478">
        <v>1.0430999999999999</v>
      </c>
      <c r="E108" s="3478">
        <v>1.0004999999999999</v>
      </c>
      <c r="F108" s="3478">
        <v>1.0004999999999999</v>
      </c>
      <c r="G108" s="3478">
        <v>1.0004999999999999</v>
      </c>
      <c r="H108" s="3478">
        <v>1.0004999999999999</v>
      </c>
      <c r="I108" s="3478">
        <v>1.0004999999999999</v>
      </c>
      <c r="J108" s="3478">
        <v>0.96940000000000004</v>
      </c>
      <c r="K108" s="3478">
        <v>0.96940000000000004</v>
      </c>
      <c r="L108" s="3478">
        <v>0.96940000000000004</v>
      </c>
      <c r="M108" s="3478">
        <v>0.96940000000000004</v>
      </c>
      <c r="N108" s="3478">
        <v>0.96940000000000004</v>
      </c>
    </row>
    <row r="109" spans="1:14">
      <c r="A109" s="3772"/>
      <c r="B109" s="3478">
        <v>4</v>
      </c>
      <c r="C109" s="3478">
        <v>0.94389999999999996</v>
      </c>
      <c r="D109" s="3478">
        <v>0.94389999999999996</v>
      </c>
      <c r="E109" s="3478">
        <v>0.88239999999999996</v>
      </c>
      <c r="F109" s="3478">
        <v>0.88239999999999996</v>
      </c>
      <c r="G109" s="3478">
        <v>0.88239999999999996</v>
      </c>
      <c r="H109" s="3478">
        <v>0.88239999999999996</v>
      </c>
      <c r="I109" s="3478">
        <v>0.88239999999999996</v>
      </c>
      <c r="J109" s="3478">
        <v>0.82299999999999995</v>
      </c>
      <c r="K109" s="3478">
        <v>0.82299999999999995</v>
      </c>
      <c r="L109" s="3478">
        <v>0.82299999999999995</v>
      </c>
      <c r="M109" s="3478">
        <v>0.82299999999999995</v>
      </c>
      <c r="N109" s="3478">
        <v>0.82299999999999995</v>
      </c>
    </row>
    <row r="110" spans="1:14">
      <c r="A110" s="3772"/>
      <c r="B110" s="3478">
        <v>5</v>
      </c>
      <c r="C110" s="3478">
        <v>0.89959999999999996</v>
      </c>
      <c r="D110" s="3478">
        <v>0.89959999999999996</v>
      </c>
      <c r="E110" s="3478">
        <v>0.84799999999999998</v>
      </c>
      <c r="F110" s="3478">
        <v>0.84799999999999998</v>
      </c>
      <c r="G110" s="3478">
        <v>0.84799999999999998</v>
      </c>
      <c r="H110" s="3478">
        <v>0.84799999999999998</v>
      </c>
      <c r="I110" s="3478">
        <v>0.84799999999999998</v>
      </c>
      <c r="J110" s="3478">
        <v>0.74980000000000002</v>
      </c>
      <c r="K110" s="3478">
        <v>0.74980000000000002</v>
      </c>
      <c r="L110" s="3478">
        <v>0.74980000000000002</v>
      </c>
      <c r="M110" s="3478">
        <v>0.74980000000000002</v>
      </c>
      <c r="N110" s="3478">
        <v>0.74980000000000002</v>
      </c>
    </row>
    <row r="111" spans="1:14">
      <c r="A111" s="3772"/>
      <c r="B111" s="3478" t="s">
        <v>3274</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73"/>
      <c r="B112" s="3478">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74" t="s">
        <v>3317</v>
      </c>
      <c r="B113" s="3774"/>
      <c r="C113" s="3774"/>
      <c r="D113" s="3774"/>
      <c r="E113" s="3774"/>
      <c r="F113" s="3774"/>
      <c r="G113" s="3774"/>
      <c r="H113" s="3774"/>
      <c r="I113" s="3774"/>
      <c r="J113" s="3774"/>
      <c r="K113" s="3475"/>
      <c r="L113" s="3475"/>
      <c r="M113" s="3475"/>
      <c r="N113" s="3475"/>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t="e">
        <f>G3</f>
        <v>#DIV/0!</v>
      </c>
      <c r="C116" s="3400" t="s">
        <v>3319</v>
      </c>
      <c r="D116" s="3401" t="e">
        <f>SUMPRODUCT((A118:A122=F116)*(B117:M117=H116)*B118:M122)</f>
        <v>#DIV/0!</v>
      </c>
      <c r="E116" s="2000" t="s">
        <v>1936</v>
      </c>
      <c r="F116" s="3402" t="str">
        <f>E2</f>
        <v>商业</v>
      </c>
      <c r="G116" s="2000" t="s">
        <v>1937</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1990</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7">I118</f>
        <v>#DIV/0!</v>
      </c>
      <c r="K118" s="3388" t="e">
        <f t="shared" si="37"/>
        <v>#DIV/0!</v>
      </c>
      <c r="L118" s="3388" t="e">
        <f t="shared" si="37"/>
        <v>#DIV/0!</v>
      </c>
      <c r="M118" s="3411" t="e">
        <f t="shared" si="37"/>
        <v>#DIV/0!</v>
      </c>
      <c r="N118" s="3398"/>
    </row>
    <row r="119" spans="1:14">
      <c r="A119" s="3410" t="s">
        <v>3335</v>
      </c>
      <c r="B119" s="3388" t="e">
        <f>ROUND(0.993-0.0112*B116,4)</f>
        <v>#DIV/0!</v>
      </c>
      <c r="C119" s="3388" t="e">
        <f>B119</f>
        <v>#DIV/0!</v>
      </c>
      <c r="D119" s="3388" t="e">
        <f>ROUND(0.9415-0.0142*B116,4)</f>
        <v>#DIV/0!</v>
      </c>
      <c r="E119" s="3388" t="e">
        <f t="shared" ref="E119:H120" si="38">D119</f>
        <v>#DIV/0!</v>
      </c>
      <c r="F119" s="3388" t="e">
        <f t="shared" si="38"/>
        <v>#DIV/0!</v>
      </c>
      <c r="G119" s="3388" t="e">
        <f t="shared" si="38"/>
        <v>#DIV/0!</v>
      </c>
      <c r="H119" s="3388" t="e">
        <f t="shared" si="38"/>
        <v>#DIV/0!</v>
      </c>
      <c r="I119" s="3388" t="e">
        <f>ROUND(0.838-0.0182*B116,4)</f>
        <v>#DIV/0!</v>
      </c>
      <c r="J119" s="3388" t="e">
        <f t="shared" si="37"/>
        <v>#DIV/0!</v>
      </c>
      <c r="K119" s="3388" t="e">
        <f t="shared" si="37"/>
        <v>#DIV/0!</v>
      </c>
      <c r="L119" s="3388" t="e">
        <f t="shared" si="37"/>
        <v>#DIV/0!</v>
      </c>
      <c r="M119" s="3411" t="e">
        <f t="shared" si="37"/>
        <v>#DIV/0!</v>
      </c>
      <c r="N119" s="3398"/>
    </row>
    <row r="120" spans="1:14">
      <c r="A120" s="3410" t="s">
        <v>1992</v>
      </c>
      <c r="B120" s="3388" t="e">
        <f>ROUND(0.9448-0.0115*B116,4)</f>
        <v>#DIV/0!</v>
      </c>
      <c r="C120" s="3388" t="e">
        <f>B120</f>
        <v>#DIV/0!</v>
      </c>
      <c r="D120" s="3388" t="e">
        <f>ROUND(0.937-0.0145*B116,4)</f>
        <v>#DIV/0!</v>
      </c>
      <c r="E120" s="3388" t="e">
        <f t="shared" si="38"/>
        <v>#DIV/0!</v>
      </c>
      <c r="F120" s="3388" t="e">
        <f t="shared" si="38"/>
        <v>#DIV/0!</v>
      </c>
      <c r="G120" s="3388" t="e">
        <f t="shared" si="38"/>
        <v>#DIV/0!</v>
      </c>
      <c r="H120" s="3388" t="e">
        <f t="shared" si="38"/>
        <v>#DIV/0!</v>
      </c>
      <c r="I120" s="3388" t="e">
        <f>ROUND(0.7965-0.0185*B116,4)</f>
        <v>#DIV/0!</v>
      </c>
      <c r="J120" s="3388" t="e">
        <f t="shared" si="37"/>
        <v>#DIV/0!</v>
      </c>
      <c r="K120" s="3388" t="e">
        <f t="shared" si="37"/>
        <v>#DIV/0!</v>
      </c>
      <c r="L120" s="3388" t="e">
        <f t="shared" si="37"/>
        <v>#DIV/0!</v>
      </c>
      <c r="M120" s="3411" t="e">
        <f t="shared" si="37"/>
        <v>#DIV/0!</v>
      </c>
      <c r="N120" s="3398"/>
    </row>
    <row r="121" spans="1:14" ht="13.5" thickBot="1">
      <c r="A121" s="3412" t="s">
        <v>1993</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7"/>
        <v>#DIV/0!</v>
      </c>
      <c r="K121" s="3413" t="e">
        <f t="shared" si="37"/>
        <v>#DIV/0!</v>
      </c>
      <c r="L121" s="3413" t="e">
        <f t="shared" si="37"/>
        <v>#DIV/0!</v>
      </c>
      <c r="M121" s="3414" t="e">
        <f t="shared" si="37"/>
        <v>#DIV/0!</v>
      </c>
      <c r="N121" s="3398"/>
    </row>
    <row r="122" spans="1:14">
      <c r="A122" s="3415" t="s">
        <v>2615</v>
      </c>
      <c r="B122" s="3388" t="e">
        <f>ROUND(0.9404-0.0106*B116,4)</f>
        <v>#DIV/0!</v>
      </c>
      <c r="C122" s="3388" t="e">
        <f>B122</f>
        <v>#DIV/0!</v>
      </c>
      <c r="D122" s="3388" t="e">
        <f>ROUND(0.8955-0.0135*B116,4)</f>
        <v>#DIV/0!</v>
      </c>
      <c r="E122" s="3388" t="e">
        <f t="shared" ref="E122:H122" si="39">D122</f>
        <v>#DIV/0!</v>
      </c>
      <c r="F122" s="3388" t="e">
        <f t="shared" si="39"/>
        <v>#DIV/0!</v>
      </c>
      <c r="G122" s="3388" t="e">
        <f t="shared" si="39"/>
        <v>#DIV/0!</v>
      </c>
      <c r="H122" s="3388" t="e">
        <f t="shared" si="39"/>
        <v>#DIV/0!</v>
      </c>
      <c r="I122" s="3388" t="e">
        <f>ROUND(0.7632-0.0166*B116,4)</f>
        <v>#DIV/0!</v>
      </c>
      <c r="J122" s="3388" t="e">
        <f t="shared" si="37"/>
        <v>#DIV/0!</v>
      </c>
      <c r="K122" s="3388" t="e">
        <f t="shared" si="37"/>
        <v>#DIV/0!</v>
      </c>
      <c r="L122" s="3388" t="e">
        <f t="shared" si="37"/>
        <v>#DIV/0!</v>
      </c>
      <c r="M122" s="3411" t="e">
        <f t="shared" si="37"/>
        <v>#DIV/0!</v>
      </c>
      <c r="N122" s="33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9" t="s">
        <v>2610</v>
      </c>
      <c r="B20" s="3794" t="s">
        <v>2631</v>
      </c>
      <c r="C20" s="3103" t="s">
        <v>2442</v>
      </c>
      <c r="D20" s="3104"/>
      <c r="E20" s="3105">
        <v>1</v>
      </c>
      <c r="F20" s="3106" t="s">
        <v>2443</v>
      </c>
      <c r="G20" s="3106"/>
    </row>
    <row r="21" spans="1:13" ht="19.5" customHeight="1">
      <c r="A21" s="3800"/>
      <c r="B21" s="3793"/>
      <c r="C21" s="3107" t="s">
        <v>2444</v>
      </c>
      <c r="D21" s="3108"/>
      <c r="E21" s="3109">
        <v>1</v>
      </c>
      <c r="F21" s="3106" t="s">
        <v>2445</v>
      </c>
      <c r="G21" s="3106"/>
    </row>
    <row r="22" spans="1:13" ht="19.5" customHeight="1">
      <c r="A22" s="3800"/>
      <c r="B22" s="3793"/>
      <c r="C22" s="3107" t="s">
        <v>2446</v>
      </c>
      <c r="D22" s="3108"/>
      <c r="E22" s="3109">
        <v>0.9</v>
      </c>
      <c r="F22" s="3106" t="s">
        <v>2447</v>
      </c>
      <c r="G22" s="3106"/>
    </row>
    <row r="23" spans="1:13" ht="19.5" customHeight="1">
      <c r="A23" s="3800"/>
      <c r="B23" s="3793"/>
      <c r="C23" s="3107" t="s">
        <v>2448</v>
      </c>
      <c r="D23" s="3108"/>
      <c r="E23" s="3109">
        <v>0.9</v>
      </c>
      <c r="F23" s="3106" t="s">
        <v>2449</v>
      </c>
      <c r="G23" s="3106"/>
    </row>
    <row r="24" spans="1:13" ht="19.5" customHeight="1">
      <c r="A24" s="3800"/>
      <c r="B24" s="3793"/>
      <c r="C24" s="3107" t="s">
        <v>2450</v>
      </c>
      <c r="D24" s="3108"/>
      <c r="E24" s="3109">
        <v>0.8</v>
      </c>
      <c r="F24" s="3106" t="s">
        <v>2451</v>
      </c>
      <c r="G24" s="3106"/>
    </row>
    <row r="25" spans="1:13" ht="19.5" customHeight="1" thickBot="1">
      <c r="A25" s="3801"/>
      <c r="B25" s="379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96" t="s">
        <v>2634</v>
      </c>
      <c r="B27" s="3794" t="s">
        <v>2615</v>
      </c>
      <c r="C27" s="3103" t="s">
        <v>2455</v>
      </c>
      <c r="D27" s="3104"/>
      <c r="E27" s="3105">
        <v>1</v>
      </c>
      <c r="F27" s="3106" t="s">
        <v>2456</v>
      </c>
      <c r="G27" s="3106"/>
    </row>
    <row r="28" spans="1:13" ht="19.5" customHeight="1">
      <c r="A28" s="3797"/>
      <c r="B28" s="3793"/>
      <c r="C28" s="3107" t="s">
        <v>2457</v>
      </c>
      <c r="D28" s="3108"/>
      <c r="E28" s="3109">
        <v>1</v>
      </c>
      <c r="F28" s="3106" t="s">
        <v>2458</v>
      </c>
      <c r="G28" s="3106"/>
    </row>
    <row r="29" spans="1:13" ht="19.5" customHeight="1">
      <c r="A29" s="3797"/>
      <c r="B29" s="3793"/>
      <c r="C29" s="3107" t="s">
        <v>2459</v>
      </c>
      <c r="D29" s="3108"/>
      <c r="E29" s="3109">
        <v>0.8</v>
      </c>
      <c r="F29" s="3106" t="s">
        <v>2460</v>
      </c>
      <c r="G29" s="3106"/>
    </row>
    <row r="30" spans="1:13" ht="19.5" customHeight="1">
      <c r="A30" s="3797"/>
      <c r="B30" s="3793"/>
      <c r="C30" s="3107" t="s">
        <v>2461</v>
      </c>
      <c r="D30" s="3108"/>
      <c r="E30" s="3109">
        <v>0.8</v>
      </c>
      <c r="F30" s="3106" t="s">
        <v>2462</v>
      </c>
      <c r="G30" s="3106"/>
    </row>
    <row r="31" spans="1:13" ht="19.5" customHeight="1">
      <c r="A31" s="3797"/>
      <c r="B31" s="3793"/>
      <c r="C31" s="3107" t="s">
        <v>2463</v>
      </c>
      <c r="D31" s="3108"/>
      <c r="E31" s="3109">
        <v>0.8</v>
      </c>
      <c r="F31" s="3106" t="s">
        <v>2464</v>
      </c>
      <c r="G31" s="3106"/>
    </row>
    <row r="32" spans="1:13" ht="19.5" customHeight="1">
      <c r="A32" s="3797"/>
      <c r="B32" s="3793"/>
      <c r="C32" s="3107" t="s">
        <v>2465</v>
      </c>
      <c r="D32" s="3108"/>
      <c r="E32" s="3109">
        <v>0.7</v>
      </c>
      <c r="F32" s="3106" t="s">
        <v>2466</v>
      </c>
      <c r="G32" s="3106"/>
    </row>
    <row r="33" spans="1:7" ht="19.5" customHeight="1">
      <c r="A33" s="3797"/>
      <c r="B33" s="3793"/>
      <c r="C33" s="3107" t="s">
        <v>2467</v>
      </c>
      <c r="D33" s="3108"/>
      <c r="E33" s="3109">
        <v>0.8</v>
      </c>
      <c r="F33" s="3106" t="s">
        <v>2468</v>
      </c>
      <c r="G33" s="3106"/>
    </row>
    <row r="34" spans="1:7" ht="19.5" customHeight="1">
      <c r="A34" s="3797"/>
      <c r="B34" s="3793"/>
      <c r="C34" s="3107" t="s">
        <v>2469</v>
      </c>
      <c r="D34" s="3108"/>
      <c r="E34" s="3109">
        <v>0.6</v>
      </c>
      <c r="F34" s="3106" t="s">
        <v>2470</v>
      </c>
      <c r="G34" s="3106"/>
    </row>
    <row r="35" spans="1:7" ht="19.5" customHeight="1">
      <c r="A35" s="3797"/>
      <c r="B35" s="3793"/>
      <c r="C35" s="3107" t="s">
        <v>2471</v>
      </c>
      <c r="D35" s="3108"/>
      <c r="E35" s="3109">
        <v>0.2</v>
      </c>
      <c r="F35" s="3106" t="s">
        <v>2472</v>
      </c>
      <c r="G35" s="3106"/>
    </row>
    <row r="36" spans="1:7" ht="19.5" customHeight="1">
      <c r="A36" s="3797"/>
      <c r="B36" s="3793"/>
      <c r="C36" s="3107" t="s">
        <v>2473</v>
      </c>
      <c r="D36" s="3108"/>
      <c r="E36" s="3109">
        <v>0.2</v>
      </c>
      <c r="F36" s="3106" t="s">
        <v>2474</v>
      </c>
      <c r="G36" s="3106"/>
    </row>
    <row r="37" spans="1:7" ht="19.5" customHeight="1">
      <c r="A37" s="3797"/>
      <c r="B37" s="3791" t="s">
        <v>2635</v>
      </c>
      <c r="C37" s="3107" t="s">
        <v>2475</v>
      </c>
      <c r="D37" s="3108"/>
      <c r="E37" s="3109">
        <v>0.6</v>
      </c>
      <c r="F37" s="3106" t="s">
        <v>2476</v>
      </c>
      <c r="G37" s="3106"/>
    </row>
    <row r="38" spans="1:7" ht="19.5" customHeight="1">
      <c r="A38" s="3797"/>
      <c r="B38" s="3793"/>
      <c r="C38" s="3107" t="s">
        <v>2477</v>
      </c>
      <c r="D38" s="3108"/>
      <c r="E38" s="3109">
        <v>0.6</v>
      </c>
      <c r="F38" s="3106" t="s">
        <v>2478</v>
      </c>
      <c r="G38" s="3106"/>
    </row>
    <row r="39" spans="1:7" ht="19.5" customHeight="1" thickBot="1">
      <c r="A39" s="3798"/>
      <c r="B39" s="379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9" t="s">
        <v>2613</v>
      </c>
      <c r="B41" s="3794" t="s">
        <v>2637</v>
      </c>
      <c r="C41" s="3103" t="s">
        <v>2482</v>
      </c>
      <c r="D41" s="3104"/>
      <c r="E41" s="3105">
        <v>1</v>
      </c>
      <c r="F41" s="3106" t="s">
        <v>2483</v>
      </c>
      <c r="G41" s="3106"/>
    </row>
    <row r="42" spans="1:7" ht="19.5" customHeight="1">
      <c r="A42" s="3800"/>
      <c r="B42" s="3793"/>
      <c r="C42" s="3107" t="s">
        <v>2484</v>
      </c>
      <c r="D42" s="3108"/>
      <c r="E42" s="3109">
        <v>1</v>
      </c>
      <c r="F42" s="3106" t="s">
        <v>2485</v>
      </c>
      <c r="G42" s="3106"/>
    </row>
    <row r="43" spans="1:7" ht="19.5" customHeight="1">
      <c r="A43" s="3800"/>
      <c r="B43" s="3792"/>
      <c r="C43" s="3107" t="s">
        <v>2486</v>
      </c>
      <c r="D43" s="3108"/>
      <c r="E43" s="3109">
        <v>1.5</v>
      </c>
      <c r="F43" s="3106" t="s">
        <v>2487</v>
      </c>
      <c r="G43" s="3106"/>
    </row>
    <row r="44" spans="1:7" ht="19.5" customHeight="1">
      <c r="A44" s="3800"/>
      <c r="B44" s="3118" t="s">
        <v>2638</v>
      </c>
      <c r="C44" s="3107" t="s">
        <v>2639</v>
      </c>
      <c r="D44" s="3108"/>
      <c r="E44" s="3109">
        <v>2</v>
      </c>
      <c r="F44" s="3106" t="s">
        <v>2488</v>
      </c>
      <c r="G44" s="3106"/>
    </row>
    <row r="45" spans="1:7" ht="19.5" customHeight="1">
      <c r="A45" s="3800"/>
      <c r="B45" s="3791" t="s">
        <v>2640</v>
      </c>
      <c r="C45" s="3107" t="s">
        <v>2489</v>
      </c>
      <c r="D45" s="3108"/>
      <c r="E45" s="3109">
        <v>1</v>
      </c>
      <c r="F45" s="3106" t="s">
        <v>2490</v>
      </c>
      <c r="G45" s="3106"/>
    </row>
    <row r="46" spans="1:7" ht="19.5" customHeight="1">
      <c r="A46" s="3800"/>
      <c r="B46" s="3793"/>
      <c r="C46" s="3107" t="s">
        <v>2491</v>
      </c>
      <c r="D46" s="3108"/>
      <c r="E46" s="3109">
        <v>1</v>
      </c>
      <c r="F46" s="3106" t="s">
        <v>2492</v>
      </c>
      <c r="G46" s="3106"/>
    </row>
    <row r="47" spans="1:7" ht="19.5" customHeight="1">
      <c r="A47" s="3800"/>
      <c r="B47" s="3793"/>
      <c r="C47" s="3107" t="s">
        <v>2493</v>
      </c>
      <c r="D47" s="3108"/>
      <c r="E47" s="3109">
        <v>1</v>
      </c>
      <c r="F47" s="3106" t="s">
        <v>2494</v>
      </c>
      <c r="G47" s="3106"/>
    </row>
    <row r="48" spans="1:7" ht="19.5" customHeight="1">
      <c r="A48" s="3800"/>
      <c r="B48" s="3793"/>
      <c r="C48" s="3107" t="s">
        <v>2495</v>
      </c>
      <c r="D48" s="3108"/>
      <c r="E48" s="3109">
        <v>1</v>
      </c>
      <c r="F48" s="3106" t="s">
        <v>2496</v>
      </c>
      <c r="G48" s="3106"/>
    </row>
    <row r="49" spans="1:7" ht="19.5" customHeight="1">
      <c r="A49" s="3800"/>
      <c r="B49" s="3793"/>
      <c r="C49" s="3107" t="s">
        <v>2497</v>
      </c>
      <c r="D49" s="3108"/>
      <c r="E49" s="3109">
        <v>1</v>
      </c>
      <c r="F49" s="3106" t="s">
        <v>2498</v>
      </c>
      <c r="G49" s="3106"/>
    </row>
    <row r="50" spans="1:7" ht="19.5" customHeight="1">
      <c r="A50" s="3800"/>
      <c r="B50" s="3793"/>
      <c r="C50" s="3107" t="s">
        <v>2499</v>
      </c>
      <c r="D50" s="3108"/>
      <c r="E50" s="3109">
        <v>1</v>
      </c>
      <c r="F50" s="3106" t="s">
        <v>2500</v>
      </c>
      <c r="G50" s="3106"/>
    </row>
    <row r="51" spans="1:7" ht="19.5" customHeight="1" thickBot="1">
      <c r="A51" s="3801"/>
      <c r="B51" s="379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91" t="s">
        <v>2654</v>
      </c>
      <c r="C73" s="3092" t="s">
        <v>2655</v>
      </c>
      <c r="D73" s="3092" t="s">
        <v>2656</v>
      </c>
      <c r="E73" s="3118">
        <v>0.2</v>
      </c>
      <c r="F73" s="3118">
        <v>25</v>
      </c>
    </row>
    <row r="74" spans="1:7" ht="24">
      <c r="A74" s="3118">
        <v>2</v>
      </c>
      <c r="B74" s="3793"/>
      <c r="C74" s="3092" t="s">
        <v>2657</v>
      </c>
      <c r="D74" s="3092" t="s">
        <v>2658</v>
      </c>
      <c r="E74" s="3118">
        <v>0.2</v>
      </c>
      <c r="F74" s="3118">
        <v>25</v>
      </c>
    </row>
    <row r="75" spans="1:7" ht="24">
      <c r="A75" s="3118">
        <v>3</v>
      </c>
      <c r="B75" s="3793"/>
      <c r="C75" s="3092" t="s">
        <v>2659</v>
      </c>
      <c r="D75" s="3092" t="s">
        <v>2660</v>
      </c>
      <c r="E75" s="3118">
        <v>0.2</v>
      </c>
      <c r="F75" s="3118">
        <v>25</v>
      </c>
    </row>
    <row r="76" spans="1:7" ht="13.5">
      <c r="A76" s="3118">
        <v>4</v>
      </c>
      <c r="B76" s="3793"/>
      <c r="C76" s="3092" t="s">
        <v>2661</v>
      </c>
      <c r="D76" s="3092" t="s">
        <v>2662</v>
      </c>
      <c r="E76" s="3118">
        <v>0.15</v>
      </c>
      <c r="F76" s="3118">
        <v>20</v>
      </c>
    </row>
    <row r="77" spans="1:7" ht="24">
      <c r="A77" s="3118">
        <v>5</v>
      </c>
      <c r="B77" s="3793"/>
      <c r="C77" s="3092" t="s">
        <v>2663</v>
      </c>
      <c r="D77" s="3092" t="s">
        <v>2664</v>
      </c>
      <c r="E77" s="3118">
        <v>0.15</v>
      </c>
      <c r="F77" s="3118">
        <v>20</v>
      </c>
    </row>
    <row r="78" spans="1:7" ht="24">
      <c r="A78" s="3118">
        <v>6</v>
      </c>
      <c r="B78" s="3793"/>
      <c r="C78" s="3092" t="s">
        <v>2665</v>
      </c>
      <c r="D78" s="3092" t="s">
        <v>2666</v>
      </c>
      <c r="E78" s="3118">
        <v>0.15</v>
      </c>
      <c r="F78" s="3118">
        <v>20</v>
      </c>
    </row>
    <row r="79" spans="1:7" ht="24">
      <c r="A79" s="3118">
        <v>7</v>
      </c>
      <c r="B79" s="3793"/>
      <c r="C79" s="3092" t="s">
        <v>2667</v>
      </c>
      <c r="D79" s="3092" t="s">
        <v>2668</v>
      </c>
      <c r="E79" s="3118">
        <v>0.15</v>
      </c>
      <c r="F79" s="3118">
        <v>20</v>
      </c>
    </row>
    <row r="80" spans="1:7" ht="24">
      <c r="A80" s="3118">
        <v>8</v>
      </c>
      <c r="B80" s="3793"/>
      <c r="C80" s="3092" t="s">
        <v>2669</v>
      </c>
      <c r="D80" s="3092" t="s">
        <v>2670</v>
      </c>
      <c r="E80" s="3118">
        <v>0.1</v>
      </c>
      <c r="F80" s="3118">
        <v>15</v>
      </c>
    </row>
    <row r="81" spans="1:6" ht="24">
      <c r="A81" s="3118">
        <v>9</v>
      </c>
      <c r="B81" s="3793"/>
      <c r="C81" s="3092" t="s">
        <v>2671</v>
      </c>
      <c r="D81" s="3092" t="s">
        <v>2672</v>
      </c>
      <c r="E81" s="3118">
        <v>0.1</v>
      </c>
      <c r="F81" s="3118">
        <v>15</v>
      </c>
    </row>
    <row r="82" spans="1:6" ht="24">
      <c r="A82" s="3118">
        <v>10</v>
      </c>
      <c r="B82" s="3793"/>
      <c r="C82" s="3092" t="s">
        <v>2673</v>
      </c>
      <c r="D82" s="3092" t="s">
        <v>2674</v>
      </c>
      <c r="E82" s="3118">
        <v>0.1</v>
      </c>
      <c r="F82" s="3118">
        <v>15</v>
      </c>
    </row>
    <row r="83" spans="1:6" ht="24">
      <c r="A83" s="3118">
        <v>11</v>
      </c>
      <c r="B83" s="3793"/>
      <c r="C83" s="3092" t="s">
        <v>2675</v>
      </c>
      <c r="D83" s="3092" t="s">
        <v>2676</v>
      </c>
      <c r="E83" s="3118">
        <v>0.1</v>
      </c>
      <c r="F83" s="3118">
        <v>15</v>
      </c>
    </row>
    <row r="84" spans="1:6" ht="24">
      <c r="A84" s="3118">
        <v>12</v>
      </c>
      <c r="B84" s="3793"/>
      <c r="C84" s="3092" t="s">
        <v>2677</v>
      </c>
      <c r="D84" s="3092" t="s">
        <v>2678</v>
      </c>
      <c r="E84" s="3118">
        <v>0.1</v>
      </c>
      <c r="F84" s="3118">
        <v>15</v>
      </c>
    </row>
    <row r="85" spans="1:6" ht="13.5">
      <c r="A85" s="3118">
        <v>13</v>
      </c>
      <c r="B85" s="3793"/>
      <c r="C85" s="3092" t="s">
        <v>2679</v>
      </c>
      <c r="D85" s="3092" t="s">
        <v>2680</v>
      </c>
      <c r="E85" s="3118">
        <v>0.1</v>
      </c>
      <c r="F85" s="3118">
        <v>15</v>
      </c>
    </row>
    <row r="86" spans="1:6" ht="13.5">
      <c r="A86" s="3118">
        <v>14</v>
      </c>
      <c r="B86" s="3793"/>
      <c r="C86" s="3092" t="s">
        <v>2681</v>
      </c>
      <c r="D86" s="3092" t="s">
        <v>2682</v>
      </c>
      <c r="E86" s="3118">
        <v>0.1</v>
      </c>
      <c r="F86" s="3118">
        <v>15</v>
      </c>
    </row>
    <row r="87" spans="1:6" ht="13.5">
      <c r="A87" s="3118">
        <v>15</v>
      </c>
      <c r="B87" s="3793"/>
      <c r="C87" s="3092" t="s">
        <v>2683</v>
      </c>
      <c r="D87" s="3092" t="s">
        <v>2684</v>
      </c>
      <c r="E87" s="3118">
        <v>0.1</v>
      </c>
      <c r="F87" s="3118">
        <v>15</v>
      </c>
    </row>
    <row r="88" spans="1:6" ht="24">
      <c r="A88" s="3118">
        <v>16</v>
      </c>
      <c r="B88" s="3793"/>
      <c r="C88" s="3092" t="s">
        <v>2685</v>
      </c>
      <c r="D88" s="3092" t="s">
        <v>2686</v>
      </c>
      <c r="E88" s="3118">
        <v>0.1</v>
      </c>
      <c r="F88" s="3118">
        <v>15</v>
      </c>
    </row>
    <row r="89" spans="1:6" ht="24">
      <c r="A89" s="3118">
        <v>17</v>
      </c>
      <c r="B89" s="3792"/>
      <c r="C89" s="3092" t="s">
        <v>2687</v>
      </c>
      <c r="D89" s="3092" t="s">
        <v>2688</v>
      </c>
      <c r="E89" s="3118">
        <v>0.1</v>
      </c>
      <c r="F89" s="3118">
        <v>15</v>
      </c>
    </row>
    <row r="90" spans="1:6" ht="13.5">
      <c r="A90" s="3118">
        <v>18</v>
      </c>
      <c r="B90" s="3791" t="s">
        <v>2689</v>
      </c>
      <c r="C90" s="3092" t="s">
        <v>2690</v>
      </c>
      <c r="D90" s="3092" t="s">
        <v>2691</v>
      </c>
      <c r="E90" s="3118">
        <v>0.2</v>
      </c>
      <c r="F90" s="3118">
        <v>25</v>
      </c>
    </row>
    <row r="91" spans="1:6" ht="24">
      <c r="A91" s="3118">
        <v>19</v>
      </c>
      <c r="B91" s="3793"/>
      <c r="C91" s="3092" t="s">
        <v>2692</v>
      </c>
      <c r="D91" s="3092" t="s">
        <v>2693</v>
      </c>
      <c r="E91" s="3118">
        <v>0.2</v>
      </c>
      <c r="F91" s="3118">
        <v>25</v>
      </c>
    </row>
    <row r="92" spans="1:6" ht="13.5">
      <c r="A92" s="3118">
        <v>20</v>
      </c>
      <c r="B92" s="3793"/>
      <c r="C92" s="3092" t="s">
        <v>2694</v>
      </c>
      <c r="D92" s="3092" t="s">
        <v>2695</v>
      </c>
      <c r="E92" s="3118">
        <v>0.15</v>
      </c>
      <c r="F92" s="3118">
        <v>20</v>
      </c>
    </row>
    <row r="93" spans="1:6" ht="13.5">
      <c r="A93" s="3118">
        <v>21</v>
      </c>
      <c r="B93" s="3793"/>
      <c r="C93" s="3092" t="s">
        <v>2696</v>
      </c>
      <c r="D93" s="3092" t="s">
        <v>2697</v>
      </c>
      <c r="E93" s="3118">
        <v>0.15</v>
      </c>
      <c r="F93" s="3118">
        <v>20</v>
      </c>
    </row>
    <row r="94" spans="1:6" ht="13.5">
      <c r="A94" s="3118">
        <v>22</v>
      </c>
      <c r="B94" s="3793"/>
      <c r="C94" s="3092" t="s">
        <v>2698</v>
      </c>
      <c r="D94" s="3092" t="s">
        <v>2699</v>
      </c>
      <c r="E94" s="3118">
        <v>0.15</v>
      </c>
      <c r="F94" s="3118">
        <v>20</v>
      </c>
    </row>
    <row r="95" spans="1:6" ht="36">
      <c r="A95" s="3118">
        <v>23</v>
      </c>
      <c r="B95" s="3793"/>
      <c r="C95" s="3092" t="s">
        <v>2700</v>
      </c>
      <c r="D95" s="3092" t="s">
        <v>2701</v>
      </c>
      <c r="E95" s="3118">
        <v>0.15</v>
      </c>
      <c r="F95" s="3118">
        <v>20</v>
      </c>
    </row>
    <row r="96" spans="1:6" ht="13.5">
      <c r="A96" s="3118">
        <v>24</v>
      </c>
      <c r="B96" s="3793"/>
      <c r="C96" s="3092" t="s">
        <v>2702</v>
      </c>
      <c r="D96" s="3092" t="s">
        <v>2703</v>
      </c>
      <c r="E96" s="3118">
        <v>0.1</v>
      </c>
      <c r="F96" s="3118">
        <v>15</v>
      </c>
    </row>
    <row r="97" spans="1:6" ht="13.5">
      <c r="A97" s="3118">
        <v>25</v>
      </c>
      <c r="B97" s="3793"/>
      <c r="C97" s="3092" t="s">
        <v>2704</v>
      </c>
      <c r="D97" s="3092" t="s">
        <v>2705</v>
      </c>
      <c r="E97" s="3118">
        <v>0.1</v>
      </c>
      <c r="F97" s="3118">
        <v>15</v>
      </c>
    </row>
    <row r="98" spans="1:6" ht="24">
      <c r="A98" s="3118">
        <v>26</v>
      </c>
      <c r="B98" s="3793"/>
      <c r="C98" s="3092" t="s">
        <v>2706</v>
      </c>
      <c r="D98" s="3092" t="s">
        <v>2707</v>
      </c>
      <c r="E98" s="3118">
        <v>0.1</v>
      </c>
      <c r="F98" s="3118">
        <v>15</v>
      </c>
    </row>
    <row r="99" spans="1:6" ht="24">
      <c r="A99" s="3118">
        <v>27</v>
      </c>
      <c r="B99" s="3793"/>
      <c r="C99" s="3092" t="s">
        <v>2708</v>
      </c>
      <c r="D99" s="3092" t="s">
        <v>2709</v>
      </c>
      <c r="E99" s="3118">
        <v>0.1</v>
      </c>
      <c r="F99" s="3118">
        <v>15</v>
      </c>
    </row>
    <row r="100" spans="1:6" ht="13.5">
      <c r="A100" s="3118">
        <v>28</v>
      </c>
      <c r="B100" s="3793"/>
      <c r="C100" s="3092" t="s">
        <v>2710</v>
      </c>
      <c r="D100" s="3092" t="s">
        <v>2711</v>
      </c>
      <c r="E100" s="3118">
        <v>0.1</v>
      </c>
      <c r="F100" s="3118">
        <v>15</v>
      </c>
    </row>
    <row r="101" spans="1:6" ht="13.5">
      <c r="A101" s="3118">
        <v>29</v>
      </c>
      <c r="B101" s="3793"/>
      <c r="C101" s="3092" t="s">
        <v>2712</v>
      </c>
      <c r="D101" s="3092" t="s">
        <v>2713</v>
      </c>
      <c r="E101" s="3118">
        <v>0.1</v>
      </c>
      <c r="F101" s="3118">
        <v>15</v>
      </c>
    </row>
    <row r="102" spans="1:6" ht="13.5">
      <c r="A102" s="3118">
        <v>30</v>
      </c>
      <c r="B102" s="3793"/>
      <c r="C102" s="3092" t="s">
        <v>2714</v>
      </c>
      <c r="D102" s="3092" t="s">
        <v>2715</v>
      </c>
      <c r="E102" s="3118">
        <v>0.1</v>
      </c>
      <c r="F102" s="3118">
        <v>15</v>
      </c>
    </row>
    <row r="103" spans="1:6" ht="24">
      <c r="A103" s="3118">
        <v>31</v>
      </c>
      <c r="B103" s="3793"/>
      <c r="C103" s="3092" t="s">
        <v>2716</v>
      </c>
      <c r="D103" s="3092" t="s">
        <v>2717</v>
      </c>
      <c r="E103" s="3118">
        <v>0.1</v>
      </c>
      <c r="F103" s="3118">
        <v>15</v>
      </c>
    </row>
    <row r="104" spans="1:6" ht="24">
      <c r="A104" s="3118">
        <v>32</v>
      </c>
      <c r="B104" s="3793"/>
      <c r="C104" s="3092" t="s">
        <v>2718</v>
      </c>
      <c r="D104" s="3092" t="s">
        <v>2719</v>
      </c>
      <c r="E104" s="3118">
        <v>0.1</v>
      </c>
      <c r="F104" s="3118">
        <v>15</v>
      </c>
    </row>
    <row r="105" spans="1:6" ht="24">
      <c r="A105" s="3118">
        <v>33</v>
      </c>
      <c r="B105" s="3793"/>
      <c r="C105" s="3092" t="s">
        <v>2720</v>
      </c>
      <c r="D105" s="3092" t="s">
        <v>2721</v>
      </c>
      <c r="E105" s="3118">
        <v>0.1</v>
      </c>
      <c r="F105" s="3118">
        <v>15</v>
      </c>
    </row>
    <row r="106" spans="1:6" ht="24">
      <c r="A106" s="3118">
        <v>34</v>
      </c>
      <c r="B106" s="3792"/>
      <c r="C106" s="3092" t="s">
        <v>2722</v>
      </c>
      <c r="D106" s="3092" t="s">
        <v>2723</v>
      </c>
      <c r="E106" s="3118">
        <v>0.1</v>
      </c>
      <c r="F106" s="3118">
        <v>15</v>
      </c>
    </row>
    <row r="107" spans="1:6" ht="24">
      <c r="A107" s="3118">
        <v>35</v>
      </c>
      <c r="B107" s="3791" t="s">
        <v>2724</v>
      </c>
      <c r="C107" s="3118" t="s">
        <v>2725</v>
      </c>
      <c r="D107" s="3092" t="s">
        <v>2726</v>
      </c>
      <c r="E107" s="3118">
        <v>0.15</v>
      </c>
      <c r="F107" s="3118">
        <v>20</v>
      </c>
    </row>
    <row r="108" spans="1:6" ht="13.5">
      <c r="A108" s="3118">
        <v>36</v>
      </c>
      <c r="B108" s="3793"/>
      <c r="C108" s="3118" t="s">
        <v>2727</v>
      </c>
      <c r="D108" s="3092" t="s">
        <v>2728</v>
      </c>
      <c r="E108" s="3118">
        <v>0.15</v>
      </c>
      <c r="F108" s="3118">
        <v>20</v>
      </c>
    </row>
    <row r="109" spans="1:6" ht="13.5">
      <c r="A109" s="3118">
        <v>37</v>
      </c>
      <c r="B109" s="3793"/>
      <c r="C109" s="3118" t="s">
        <v>2729</v>
      </c>
      <c r="D109" s="3092" t="s">
        <v>2730</v>
      </c>
      <c r="E109" s="3118">
        <v>0.15</v>
      </c>
      <c r="F109" s="3118">
        <v>20</v>
      </c>
    </row>
    <row r="110" spans="1:6" ht="13.5">
      <c r="A110" s="3118">
        <v>38</v>
      </c>
      <c r="B110" s="3793"/>
      <c r="C110" s="3118" t="s">
        <v>2731</v>
      </c>
      <c r="D110" s="3092" t="s">
        <v>2732</v>
      </c>
      <c r="E110" s="3118">
        <v>0.1</v>
      </c>
      <c r="F110" s="3118">
        <v>15</v>
      </c>
    </row>
    <row r="111" spans="1:6" ht="24">
      <c r="A111" s="3118">
        <v>39</v>
      </c>
      <c r="B111" s="3793"/>
      <c r="C111" s="3118" t="s">
        <v>2733</v>
      </c>
      <c r="D111" s="3092" t="s">
        <v>2734</v>
      </c>
      <c r="E111" s="3118">
        <v>0.1</v>
      </c>
      <c r="F111" s="3118">
        <v>15</v>
      </c>
    </row>
    <row r="112" spans="1:6" ht="24">
      <c r="A112" s="3118">
        <v>40</v>
      </c>
      <c r="B112" s="3792"/>
      <c r="C112" s="3118" t="s">
        <v>2735</v>
      </c>
      <c r="D112" s="3092" t="s">
        <v>2736</v>
      </c>
      <c r="E112" s="3118">
        <v>0.1</v>
      </c>
      <c r="F112" s="3118">
        <v>15</v>
      </c>
    </row>
    <row r="113" spans="1:6" ht="13.5">
      <c r="A113" s="3118">
        <v>41</v>
      </c>
      <c r="B113" s="3790" t="s">
        <v>2737</v>
      </c>
      <c r="C113" s="3118" t="s">
        <v>2738</v>
      </c>
      <c r="D113" s="3092" t="s">
        <v>2739</v>
      </c>
      <c r="E113" s="3118">
        <v>0.1</v>
      </c>
      <c r="F113" s="3118">
        <v>15</v>
      </c>
    </row>
    <row r="114" spans="1:6" ht="13.5">
      <c r="A114" s="3118">
        <v>42</v>
      </c>
      <c r="B114" s="3790"/>
      <c r="C114" s="3118" t="s">
        <v>2740</v>
      </c>
      <c r="D114" s="3092" t="s">
        <v>2741</v>
      </c>
      <c r="E114" s="3118">
        <v>0.1</v>
      </c>
      <c r="F114" s="3118">
        <v>15</v>
      </c>
    </row>
    <row r="115" spans="1:6" ht="24">
      <c r="A115" s="3118">
        <v>43</v>
      </c>
      <c r="B115" s="3790"/>
      <c r="C115" s="3118" t="s">
        <v>2742</v>
      </c>
      <c r="D115" s="3092" t="s">
        <v>2743</v>
      </c>
      <c r="E115" s="3118">
        <v>0.1</v>
      </c>
      <c r="F115" s="3118">
        <v>15</v>
      </c>
    </row>
    <row r="116" spans="1:6" ht="13.5">
      <c r="A116" s="3118">
        <v>44</v>
      </c>
      <c r="B116" s="3791" t="s">
        <v>2744</v>
      </c>
      <c r="C116" s="3118" t="s">
        <v>2745</v>
      </c>
      <c r="D116" s="3092" t="s">
        <v>2746</v>
      </c>
      <c r="E116" s="3118">
        <v>0.1</v>
      </c>
      <c r="F116" s="3118">
        <v>15</v>
      </c>
    </row>
    <row r="117" spans="1:6" ht="24">
      <c r="A117" s="3118">
        <v>45</v>
      </c>
      <c r="B117" s="3792"/>
      <c r="C117" s="3092" t="s">
        <v>2747</v>
      </c>
      <c r="D117" s="3092" t="s">
        <v>2748</v>
      </c>
      <c r="E117" s="3118">
        <v>0.1</v>
      </c>
      <c r="F117" s="3118">
        <v>15</v>
      </c>
    </row>
    <row r="118" spans="1:6" ht="24">
      <c r="A118" s="3118">
        <v>46</v>
      </c>
      <c r="B118" s="3791" t="s">
        <v>2749</v>
      </c>
      <c r="C118" s="3118" t="s">
        <v>2750</v>
      </c>
      <c r="D118" s="3092" t="s">
        <v>2751</v>
      </c>
      <c r="E118" s="3118">
        <v>0.1</v>
      </c>
      <c r="F118" s="3118">
        <v>15</v>
      </c>
    </row>
    <row r="119" spans="1:6" ht="24">
      <c r="A119" s="3118">
        <v>47</v>
      </c>
      <c r="B119" s="3792"/>
      <c r="C119" s="3118" t="s">
        <v>2752</v>
      </c>
      <c r="D119" s="3092" t="s">
        <v>2753</v>
      </c>
      <c r="E119" s="3118">
        <v>0.1</v>
      </c>
      <c r="F119" s="3118">
        <v>15</v>
      </c>
    </row>
    <row r="120" spans="1:6" ht="13.5">
      <c r="A120" s="3118">
        <v>48</v>
      </c>
      <c r="B120" s="3791" t="s">
        <v>2754</v>
      </c>
      <c r="C120" s="3118" t="s">
        <v>2755</v>
      </c>
      <c r="D120" s="3092" t="s">
        <v>2756</v>
      </c>
      <c r="E120" s="3118">
        <v>0.1</v>
      </c>
      <c r="F120" s="3118">
        <v>15</v>
      </c>
    </row>
    <row r="121" spans="1:6" ht="13.5">
      <c r="A121" s="3118">
        <v>49</v>
      </c>
      <c r="B121" s="3792"/>
      <c r="C121" s="3118" t="s">
        <v>2757</v>
      </c>
      <c r="D121" s="3092" t="s">
        <v>2758</v>
      </c>
      <c r="E121" s="3118">
        <v>0.1</v>
      </c>
      <c r="F121" s="3118">
        <v>15</v>
      </c>
    </row>
    <row r="122" spans="1:6" ht="24">
      <c r="A122" s="3118">
        <v>50</v>
      </c>
      <c r="B122" s="3790" t="s">
        <v>2759</v>
      </c>
      <c r="C122" s="3118" t="s">
        <v>2760</v>
      </c>
      <c r="D122" s="3092" t="s">
        <v>2761</v>
      </c>
      <c r="E122" s="3118">
        <v>0.1</v>
      </c>
      <c r="F122" s="3118">
        <v>15</v>
      </c>
    </row>
    <row r="123" spans="1:6" ht="24">
      <c r="A123" s="3118">
        <v>51</v>
      </c>
      <c r="B123" s="3790"/>
      <c r="C123" s="3118" t="s">
        <v>2762</v>
      </c>
      <c r="D123" s="3092" t="s">
        <v>2763</v>
      </c>
      <c r="E123" s="3118">
        <v>0.1</v>
      </c>
      <c r="F123" s="3118">
        <v>15</v>
      </c>
    </row>
    <row r="124" spans="1:6" ht="24">
      <c r="A124" s="3118">
        <v>52</v>
      </c>
      <c r="B124" s="3790" t="s">
        <v>2764</v>
      </c>
      <c r="C124" s="3118" t="s">
        <v>2765</v>
      </c>
      <c r="D124" s="3092" t="s">
        <v>2766</v>
      </c>
      <c r="E124" s="3118">
        <v>0.1</v>
      </c>
      <c r="F124" s="3118">
        <v>15</v>
      </c>
    </row>
    <row r="125" spans="1:6" ht="24">
      <c r="A125" s="3118">
        <v>53</v>
      </c>
      <c r="B125" s="379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0" t="s">
        <v>2772</v>
      </c>
      <c r="C127" s="3118" t="s">
        <v>2773</v>
      </c>
      <c r="D127" s="3092" t="s">
        <v>2774</v>
      </c>
      <c r="E127" s="3118">
        <v>0.1</v>
      </c>
      <c r="F127" s="3118">
        <v>15</v>
      </c>
    </row>
    <row r="128" spans="1:6" ht="13.5">
      <c r="A128" s="3118">
        <v>56</v>
      </c>
      <c r="B128" s="3790"/>
      <c r="C128" s="3118" t="s">
        <v>2775</v>
      </c>
      <c r="D128" s="3092" t="s">
        <v>2776</v>
      </c>
      <c r="E128" s="3118">
        <v>0.1</v>
      </c>
      <c r="F128" s="3118">
        <v>15</v>
      </c>
    </row>
    <row r="129" spans="1:6" ht="24">
      <c r="A129" s="3118">
        <v>57</v>
      </c>
      <c r="B129" s="3790"/>
      <c r="C129" s="3118" t="s">
        <v>2777</v>
      </c>
      <c r="D129" s="3092" t="s">
        <v>2778</v>
      </c>
      <c r="E129" s="3118">
        <v>0.1</v>
      </c>
      <c r="F129" s="3118">
        <v>15</v>
      </c>
    </row>
    <row r="130" spans="1:6" ht="24">
      <c r="A130" s="3118">
        <v>58</v>
      </c>
      <c r="B130" s="3790" t="s">
        <v>2779</v>
      </c>
      <c r="C130" s="3118" t="s">
        <v>2780</v>
      </c>
      <c r="D130" s="3092" t="s">
        <v>2781</v>
      </c>
      <c r="E130" s="3118">
        <v>0.1</v>
      </c>
      <c r="F130" s="3118">
        <v>15</v>
      </c>
    </row>
    <row r="131" spans="1:6" ht="13.5">
      <c r="A131" s="3118">
        <v>59</v>
      </c>
      <c r="B131" s="3790"/>
      <c r="C131" s="3118" t="s">
        <v>2782</v>
      </c>
      <c r="D131" s="3092" t="s">
        <v>2783</v>
      </c>
      <c r="E131" s="3118">
        <v>0.1</v>
      </c>
      <c r="F131" s="3118">
        <v>15</v>
      </c>
    </row>
    <row r="132" spans="1:6" ht="13.5">
      <c r="A132" s="3118">
        <v>60</v>
      </c>
      <c r="B132" s="3791" t="s">
        <v>2784</v>
      </c>
      <c r="C132" s="3118" t="s">
        <v>2785</v>
      </c>
      <c r="D132" s="3092" t="s">
        <v>2786</v>
      </c>
      <c r="E132" s="3118">
        <v>0.1</v>
      </c>
      <c r="F132" s="3118">
        <v>15</v>
      </c>
    </row>
    <row r="133" spans="1:6" ht="13.5">
      <c r="A133" s="3118">
        <v>61</v>
      </c>
      <c r="B133" s="379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0" t="s">
        <v>2792</v>
      </c>
      <c r="C135" s="3118" t="s">
        <v>2793</v>
      </c>
      <c r="D135" s="3092" t="s">
        <v>2794</v>
      </c>
      <c r="E135" s="3118">
        <v>0.1</v>
      </c>
      <c r="F135" s="3118">
        <v>15</v>
      </c>
    </row>
    <row r="136" spans="1:6" ht="13.5">
      <c r="A136" s="3118">
        <v>64</v>
      </c>
      <c r="B136" s="379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0.96950000000000003</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0.92220000000000002</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31280</v>
      </c>
      <c r="C2" s="2" t="s">
        <v>106</v>
      </c>
      <c r="D2" s="199"/>
      <c r="E2" s="199"/>
      <c r="F2" s="199"/>
      <c r="G2" s="199"/>
    </row>
    <row r="3" spans="1:7" s="200" customFormat="1" ht="18" customHeight="1" thickBot="1">
      <c r="A3" s="203" t="s">
        <v>58</v>
      </c>
      <c r="B3" s="204">
        <f ca="1">ROUND(B2*10000/'数据-汇总表'!E3,0)</f>
        <v>62145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5033.37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101</v>
      </c>
      <c r="D19" s="849">
        <f>'数据-汇总表'!E3</f>
        <v>5033.37</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3591</v>
      </c>
      <c r="D27" s="235">
        <f>C29</f>
        <v>3.3999999999999998E-3</v>
      </c>
      <c r="E27" s="236" t="s">
        <v>99</v>
      </c>
      <c r="F27" s="246">
        <f>'数据-取费表'!Q16</f>
        <v>0.17</v>
      </c>
      <c r="G27" s="247" t="s">
        <v>431</v>
      </c>
    </row>
    <row r="28" spans="1:7" s="214" customFormat="1" ht="13.5" customHeight="1">
      <c r="A28" s="780" t="s">
        <v>349</v>
      </c>
      <c r="B28" s="248" t="s">
        <v>424</v>
      </c>
      <c r="C28" s="249">
        <f>ROUND((C5+C19+C20)*F27*'数据-取费表'!B21/'数据-取费表'!B20,0)</f>
        <v>3591</v>
      </c>
      <c r="D28" s="235"/>
      <c r="E28" s="236"/>
      <c r="F28" s="246"/>
      <c r="G28" s="247"/>
    </row>
    <row r="29" spans="1:7" s="214" customFormat="1" ht="13.5" customHeight="1">
      <c r="A29" s="780" t="s">
        <v>347</v>
      </c>
      <c r="B29" s="248" t="s">
        <v>425</v>
      </c>
      <c r="C29" s="238">
        <f>ROUND(C21*F27*'数据-取费表'!B21/'数据-取费表'!B20,4)</f>
        <v>3.3999999999999998E-3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28685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2013</v>
      </c>
      <c r="D34" s="217"/>
      <c r="E34" s="220"/>
      <c r="F34" s="257">
        <f>IF('数据-取费表'!B24=0,1,'数据-取费表'!N16)</f>
        <v>1</v>
      </c>
      <c r="G34" s="219" t="s">
        <v>89</v>
      </c>
    </row>
    <row r="35" spans="1:7" ht="13.5" customHeight="1">
      <c r="A35" s="780" t="s">
        <v>351</v>
      </c>
      <c r="B35" s="215" t="s">
        <v>33</v>
      </c>
      <c r="C35" s="220">
        <f>ROUND(C34*F35,0)</f>
        <v>60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101</v>
      </c>
      <c r="D37" s="217">
        <f>'数据-汇总表'!E3</f>
        <v>5033.37</v>
      </c>
      <c r="E37" s="249">
        <f>'数据-取费表'!B35</f>
        <v>200</v>
      </c>
      <c r="F37" s="259"/>
      <c r="G37" s="261" t="s">
        <v>92</v>
      </c>
    </row>
    <row r="38" spans="1:7" ht="13.5" customHeight="1">
      <c r="A38" s="780" t="s">
        <v>354</v>
      </c>
      <c r="B38" s="215" t="s">
        <v>36</v>
      </c>
      <c r="C38" s="220">
        <f>ROUND(C34*F38,0)</f>
        <v>30</v>
      </c>
      <c r="D38" s="220"/>
      <c r="E38" s="220"/>
      <c r="F38" s="259">
        <f>'数据-取费表'!B36</f>
        <v>1.4999999999999999E-2</v>
      </c>
      <c r="G38" s="219" t="s">
        <v>90</v>
      </c>
    </row>
    <row r="39" spans="1:7" s="214" customFormat="1" ht="13.5" customHeight="1">
      <c r="A39" s="777" t="s">
        <v>338</v>
      </c>
      <c r="B39" s="210" t="s">
        <v>77</v>
      </c>
      <c r="C39" s="232">
        <f>ROUND(C33*F20,0)</f>
        <v>44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91</v>
      </c>
      <c r="D42" s="238"/>
      <c r="E42" s="238"/>
      <c r="F42" s="239"/>
      <c r="G42" s="3666" t="s">
        <v>94</v>
      </c>
    </row>
    <row r="43" spans="1:7" ht="13.5" customHeight="1">
      <c r="A43" s="780" t="s">
        <v>347</v>
      </c>
      <c r="B43" s="215" t="s">
        <v>426</v>
      </c>
      <c r="C43" s="238">
        <f ca="1">ROUND(IF('数据-取费表'!B22&lt;=1,C39*F22*'数据-取费表'!B21/2,C39*(POWER((1+F22),'数据-取费表'!B21/2)-1)),0)</f>
        <v>2</v>
      </c>
      <c r="D43" s="238"/>
      <c r="E43" s="238"/>
      <c r="F43" s="239"/>
      <c r="G43" s="3667"/>
    </row>
    <row r="44" spans="1:7" ht="13.5" customHeight="1">
      <c r="A44" s="780" t="s">
        <v>348</v>
      </c>
      <c r="B44" s="215" t="s">
        <v>428</v>
      </c>
      <c r="C44" s="238">
        <f ca="1">ROUND(IF('数据-取费表'!B22&lt;=1,C40*F22*'数据-取费表'!B21/2,C40*(POWER((1+F22),'数据-取费表'!B21/2)-1)),4)</f>
        <v>8.0000000000000004E-4</v>
      </c>
      <c r="D44" s="238"/>
      <c r="E44" s="238"/>
      <c r="F44" s="239"/>
      <c r="G44" s="3668"/>
    </row>
    <row r="45" spans="1:7" s="214" customFormat="1" ht="13.5" customHeight="1">
      <c r="A45" s="777" t="s">
        <v>341</v>
      </c>
      <c r="B45" s="244" t="s">
        <v>85</v>
      </c>
      <c r="C45" s="245">
        <f>C46</f>
        <v>382</v>
      </c>
      <c r="D45" s="235">
        <f>C47</f>
        <v>3.3999999999999998E-3</v>
      </c>
      <c r="E45" s="236" t="s">
        <v>102</v>
      </c>
      <c r="F45" s="246"/>
      <c r="G45" s="247" t="s">
        <v>434</v>
      </c>
    </row>
    <row r="46" spans="1:7" s="214" customFormat="1" ht="13.5" customHeight="1">
      <c r="A46" s="780" t="s">
        <v>349</v>
      </c>
      <c r="B46" s="248" t="s">
        <v>427</v>
      </c>
      <c r="C46" s="249">
        <f>ROUND((C33+C39)*F27,0)</f>
        <v>382</v>
      </c>
      <c r="D46" s="263"/>
      <c r="E46" s="236"/>
      <c r="F46" s="246"/>
      <c r="G46" s="247"/>
    </row>
    <row r="47" spans="1:7" s="214" customFormat="1" ht="13.5" customHeight="1">
      <c r="A47" s="780" t="s">
        <v>347</v>
      </c>
      <c r="B47" s="248" t="s">
        <v>429</v>
      </c>
      <c r="C47" s="238">
        <f>ROUND(C40*F27,4)</f>
        <v>3.3999999999999998E-3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2949</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2595</v>
      </c>
      <c r="D51" s="232"/>
      <c r="E51" s="232"/>
      <c r="F51" s="264"/>
      <c r="G51" s="234" t="s">
        <v>37</v>
      </c>
    </row>
    <row r="52" spans="1:7" s="208" customFormat="1" ht="16.5" thickBot="1">
      <c r="A52" s="265" t="s">
        <v>38</v>
      </c>
      <c r="B52" s="266"/>
      <c r="C52" s="267">
        <f ca="1">C31+C51</f>
        <v>31280</v>
      </c>
      <c r="D52" s="266"/>
      <c r="E52" s="266"/>
      <c r="F52" s="266"/>
      <c r="G52" s="268"/>
    </row>
    <row r="55" spans="1:7" ht="15">
      <c r="B55" s="270" t="s">
        <v>39</v>
      </c>
      <c r="C55" s="271"/>
    </row>
    <row r="56" spans="1:7">
      <c r="B56" s="273" t="s">
        <v>40</v>
      </c>
      <c r="C56" s="274">
        <f ca="1">ROUND(C51/C52,3)</f>
        <v>8.3000000000000004E-2</v>
      </c>
    </row>
    <row r="57" spans="1:7">
      <c r="B57" s="273" t="s">
        <v>41</v>
      </c>
      <c r="C57" s="275">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2846</v>
      </c>
      <c r="B1" s="3804"/>
      <c r="C1" s="3804"/>
      <c r="D1" s="3804"/>
      <c r="E1" s="3804"/>
      <c r="F1" s="3804"/>
      <c r="G1" s="380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0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0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6" t="s">
        <v>3188</v>
      </c>
      <c r="B1" s="380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07" t="s">
        <v>3239</v>
      </c>
      <c r="B1" s="3807"/>
      <c r="C1" s="3807"/>
      <c r="D1" s="3807"/>
      <c r="E1" s="3807"/>
      <c r="F1" s="3808"/>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44943</v>
      </c>
      <c r="B1" s="3210" t="s">
        <v>2845</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80"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09" t="s">
        <v>2833</v>
      </c>
      <c r="S21" s="3810"/>
      <c r="T21" s="3810"/>
      <c r="U21" s="3810"/>
      <c r="V21" s="3810"/>
      <c r="W21" s="3810"/>
      <c r="X21" s="3165"/>
      <c r="Y21" s="3809" t="s">
        <v>2834</v>
      </c>
      <c r="Z21" s="3810"/>
      <c r="AA21" s="3810"/>
      <c r="AB21" s="3810"/>
      <c r="AC21" s="3810"/>
      <c r="AD21" s="381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81"/>
      <c r="AB26" s="3481"/>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81"/>
      <c r="AB27" s="3481"/>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81"/>
      <c r="AB28" s="3481"/>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80"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44943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5033.37</v>
      </c>
      <c r="C4" s="854">
        <f>项目基本情况!C18</f>
        <v>0</v>
      </c>
      <c r="D4" s="854">
        <f ca="1">结果表!D118</f>
        <v>3299</v>
      </c>
      <c r="E4" s="854">
        <f ca="1">结果表!E118</f>
        <v>10932</v>
      </c>
      <c r="F4" s="854">
        <f ca="1">结果表!F118</f>
        <v>1407</v>
      </c>
      <c r="G4" s="854">
        <f ca="1">结果表!G118</f>
        <v>4662</v>
      </c>
      <c r="H4" s="854">
        <f ca="1">结果表!H118</f>
        <v>4706</v>
      </c>
      <c r="I4" s="854">
        <f ca="1">结果表!I118</f>
        <v>15594</v>
      </c>
    </row>
    <row r="5" spans="1:9" ht="30" customHeight="1">
      <c r="A5" s="3497" t="s">
        <v>927</v>
      </c>
      <c r="B5" s="3497"/>
      <c r="C5" s="3497"/>
      <c r="D5" s="3497" t="str">
        <f ca="1">结果表!D119</f>
        <v>叁仟贰佰玖拾玖万元整</v>
      </c>
      <c r="E5" s="3497"/>
      <c r="F5" s="3497" t="str">
        <f ca="1">结果表!F119</f>
        <v>壹仟肆佰零柒万元整</v>
      </c>
      <c r="G5" s="3497"/>
      <c r="H5" s="3497" t="str">
        <f ca="1">结果表!H119</f>
        <v>肆仟柒佰零陆万元整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4706</v>
      </c>
      <c r="E8" s="3496"/>
      <c r="F8" s="3496"/>
      <c r="G8" s="3496"/>
      <c r="H8" s="3496"/>
      <c r="I8" s="3496"/>
    </row>
    <row r="9" spans="1:9" ht="15">
      <c r="A9" s="3497" t="s">
        <v>927</v>
      </c>
      <c r="B9" s="3497"/>
      <c r="C9" s="3497"/>
      <c r="D9" s="3497" t="str">
        <f ca="1">结果表!D123</f>
        <v>肆仟柒佰零陆万元整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15"/>
  <sheetViews>
    <sheetView workbookViewId="0">
      <selection activeCell="I16" sqref="I16"/>
    </sheetView>
  </sheetViews>
  <sheetFormatPr defaultRowHeight="13.5"/>
  <cols>
    <col min="7" max="7" width="9.5" bestFit="1" customWidth="1"/>
  </cols>
  <sheetData>
    <row r="3" spans="3:7">
      <c r="F3" s="3482" t="s">
        <v>3419</v>
      </c>
      <c r="G3" s="3482" t="s">
        <v>3420</v>
      </c>
    </row>
    <row r="4" spans="3:7">
      <c r="C4" s="3482" t="s">
        <v>3382</v>
      </c>
      <c r="D4">
        <f>115.77+114.64+120.15+121.26+115.74+125.67+208.15+149.21+149.21+149.21+149.21+157.49+88.61+122.18+128.97</f>
        <v>2015.47</v>
      </c>
      <c r="F4">
        <v>2015.47</v>
      </c>
      <c r="G4">
        <f>ROUND(F4*10000/D4,2)</f>
        <v>10000</v>
      </c>
    </row>
    <row r="5" spans="3:7">
      <c r="C5" s="3482" t="s">
        <v>3383</v>
      </c>
      <c r="D5">
        <f>148.39+146.15+153.73+155.59+243.04+184.55+184.17+184.91+184.55+184.55+184.55+204.35+92.27+104.29+104.29+134.4+131.81+136.99+155.32</f>
        <v>3017.9</v>
      </c>
      <c r="F5">
        <v>6033.26</v>
      </c>
      <c r="G5">
        <f>ROUND(F5/(D5+D6)*10000,0)</f>
        <v>10000</v>
      </c>
    </row>
    <row r="6" spans="3:7">
      <c r="C6" s="3482" t="s">
        <v>3421</v>
      </c>
      <c r="D6">
        <f>146.94+146.15+153.73+155.21+242.7+184.55+184.17+184.91+184.55+184.55+184.55+207.79+92.27+104.29+104.29+134.4+131.81+136.99+151.51</f>
        <v>3015.3600000000006</v>
      </c>
    </row>
    <row r="7" spans="3:7">
      <c r="D7">
        <f>SUM(D4:D6)</f>
        <v>8048.7300000000005</v>
      </c>
    </row>
    <row r="15" spans="3:7">
      <c r="C15">
        <v>22674.5</v>
      </c>
      <c r="D15">
        <v>700</v>
      </c>
      <c r="E15">
        <f>D15*10000/C15/365</f>
        <v>0.84579956302369708</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949</v>
      </c>
      <c r="B1" s="3509"/>
      <c r="C1" s="3509"/>
      <c r="D1" s="3509"/>
    </row>
    <row r="2" spans="1:4" ht="18">
      <c r="A2" s="3510" t="s">
        <v>933</v>
      </c>
      <c r="B2" s="3510"/>
      <c r="C2" s="3510"/>
      <c r="D2" s="351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0" t="s">
        <v>939</v>
      </c>
      <c r="B6" s="3510"/>
      <c r="C6" s="3510"/>
      <c r="D6" s="351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结果表-商业</vt:lpstr>
      <vt:lpstr>成本法-商业</vt:lpstr>
      <vt:lpstr>收益法-商业</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2023-02-06T07:11:44Z</dcterms:modified>
</cp:coreProperties>
</file>