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范围"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state="hidden" r:id="rId23"/>
    <sheet name="比较法-住宅" sheetId="21" r:id="rId24"/>
    <sheet name="收益法-办公" sheetId="15" state="hidden" r:id="rId25"/>
    <sheet name="收益法-商业" sheetId="79"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I33" i="21"/>
  <c r="C11" i="21" l="1"/>
  <c r="C11" i="39"/>
  <c r="I7" i="6"/>
  <c r="I47" i="21" l="1"/>
  <c r="F20" i="6" l="1"/>
  <c r="F19" i="6"/>
  <c r="M13" i="3"/>
  <c r="I13" i="3"/>
  <c r="L108" i="77"/>
  <c r="K108" i="77"/>
  <c r="L107" i="77"/>
  <c r="K107" i="77"/>
  <c r="L106" i="77"/>
  <c r="K106" i="77"/>
  <c r="L105" i="77"/>
  <c r="K105" i="77"/>
  <c r="L104" i="77"/>
  <c r="K104" i="77"/>
  <c r="L103" i="77"/>
  <c r="K103" i="77"/>
  <c r="L102" i="77"/>
  <c r="K102" i="77"/>
  <c r="L101" i="77"/>
  <c r="K101" i="77"/>
  <c r="L100" i="77"/>
  <c r="K100" i="77"/>
  <c r="L99" i="77"/>
  <c r="K99" i="77"/>
  <c r="L98" i="77"/>
  <c r="K98" i="77"/>
  <c r="L97" i="77"/>
  <c r="K97" i="77"/>
  <c r="L96" i="77"/>
  <c r="K96" i="77"/>
  <c r="L95" i="77"/>
  <c r="K95" i="77"/>
  <c r="L94" i="77"/>
  <c r="K94" i="77"/>
  <c r="L93" i="77"/>
  <c r="K93" i="77"/>
  <c r="L92" i="77"/>
  <c r="K92" i="77"/>
  <c r="L91" i="77"/>
  <c r="K91" i="77"/>
  <c r="L90" i="77"/>
  <c r="K90" i="77"/>
  <c r="L89" i="77"/>
  <c r="K89" i="77"/>
  <c r="L88" i="77"/>
  <c r="K88" i="77"/>
  <c r="L87" i="77"/>
  <c r="K87" i="77"/>
  <c r="L86" i="77"/>
  <c r="K86" i="77"/>
  <c r="L85" i="77"/>
  <c r="K85" i="77"/>
  <c r="L84" i="77"/>
  <c r="K84" i="77"/>
  <c r="L83" i="77"/>
  <c r="K83" i="77"/>
  <c r="L82" i="77"/>
  <c r="K82" i="77"/>
  <c r="L81" i="77"/>
  <c r="K81" i="77"/>
  <c r="L80" i="77"/>
  <c r="K80" i="77"/>
  <c r="L79" i="77"/>
  <c r="K79" i="77"/>
  <c r="L78" i="77"/>
  <c r="K78" i="77"/>
  <c r="L77" i="77"/>
  <c r="K77" i="77"/>
  <c r="L76" i="77"/>
  <c r="K76" i="77"/>
  <c r="L75" i="77"/>
  <c r="K75" i="77"/>
  <c r="L74" i="77"/>
  <c r="K74" i="77"/>
  <c r="L73" i="77"/>
  <c r="K73" i="77"/>
  <c r="L72" i="77"/>
  <c r="K72" i="77"/>
  <c r="L71" i="77"/>
  <c r="K71" i="77"/>
  <c r="L70" i="77"/>
  <c r="K70" i="77"/>
  <c r="L69" i="77"/>
  <c r="K69" i="77"/>
  <c r="L68" i="77"/>
  <c r="K68" i="77"/>
  <c r="L67" i="77"/>
  <c r="K67" i="77"/>
  <c r="L66" i="77"/>
  <c r="K66" i="77"/>
  <c r="L65" i="77"/>
  <c r="K65" i="77"/>
  <c r="L64" i="77"/>
  <c r="K64" i="77"/>
  <c r="L63" i="77"/>
  <c r="K63" i="77"/>
  <c r="L62" i="77"/>
  <c r="K62" i="77"/>
  <c r="L61" i="77"/>
  <c r="K61" i="77"/>
  <c r="L60" i="77"/>
  <c r="K60" i="77"/>
  <c r="L59" i="77"/>
  <c r="K59" i="77"/>
  <c r="L58" i="77"/>
  <c r="K58" i="77"/>
  <c r="L57" i="77"/>
  <c r="K57" i="77"/>
  <c r="L56" i="77"/>
  <c r="K56" i="77"/>
  <c r="L55" i="77"/>
  <c r="K55" i="77"/>
  <c r="L54" i="77"/>
  <c r="K54" i="77"/>
  <c r="L53" i="77"/>
  <c r="K53" i="77"/>
  <c r="L52" i="77"/>
  <c r="K52" i="77"/>
  <c r="L51" i="77"/>
  <c r="K51" i="77"/>
  <c r="L50" i="77"/>
  <c r="K50" i="77"/>
  <c r="L49" i="77"/>
  <c r="K49" i="77"/>
  <c r="L48" i="77"/>
  <c r="K48" i="77"/>
  <c r="L47" i="77"/>
  <c r="K47" i="77"/>
  <c r="L46" i="77"/>
  <c r="K46" i="77"/>
  <c r="L45" i="77"/>
  <c r="K45" i="77"/>
  <c r="L44" i="77"/>
  <c r="K44" i="77"/>
  <c r="E104" i="21" l="1"/>
  <c r="F104" i="21" s="1"/>
  <c r="G104" i="21" s="1"/>
  <c r="H104" i="21" s="1"/>
  <c r="I104" i="21" s="1"/>
  <c r="J104" i="21" s="1"/>
  <c r="K104" i="21" s="1"/>
  <c r="D104" i="21"/>
  <c r="E47" i="21"/>
  <c r="K21" i="21"/>
  <c r="K19" i="21"/>
  <c r="K17" i="21"/>
  <c r="K11" i="21"/>
  <c r="E118" i="39"/>
  <c r="F118" i="39" s="1"/>
  <c r="G118" i="39" s="1"/>
  <c r="H118" i="39" s="1"/>
  <c r="I118" i="39" s="1"/>
  <c r="J118" i="39" s="1"/>
  <c r="K118" i="39" s="1"/>
  <c r="D118" i="39"/>
  <c r="G47" i="21" l="1"/>
  <c r="Q72" i="79"/>
  <c r="F60" i="79"/>
  <c r="Q59" i="79"/>
  <c r="K59" i="79"/>
  <c r="P74" i="79" s="1"/>
  <c r="F59" i="79"/>
  <c r="Q58" i="79"/>
  <c r="Q51" i="79"/>
  <c r="J50" i="79"/>
  <c r="M47" i="79"/>
  <c r="D46" i="79"/>
  <c r="F34" i="79"/>
  <c r="F62" i="79" s="1"/>
  <c r="F33" i="79"/>
  <c r="F61" i="79" s="1"/>
  <c r="F32" i="79"/>
  <c r="F31" i="79"/>
  <c r="F28" i="79"/>
  <c r="F23" i="79"/>
  <c r="F21" i="79"/>
  <c r="M20" i="79"/>
  <c r="F20" i="79"/>
  <c r="M19" i="79"/>
  <c r="M18" i="79"/>
  <c r="F18" i="79"/>
  <c r="M17" i="79"/>
  <c r="F17" i="79"/>
  <c r="F15" i="79"/>
  <c r="E103" i="21"/>
  <c r="F103" i="21" s="1"/>
  <c r="G103" i="21" s="1"/>
  <c r="H103" i="21" s="1"/>
  <c r="I103" i="21" s="1"/>
  <c r="J103" i="21" s="1"/>
  <c r="K103" i="21" s="1"/>
  <c r="D103" i="21"/>
  <c r="I7" i="21"/>
  <c r="E59" i="21"/>
  <c r="F59" i="21" s="1"/>
  <c r="G59" i="21" s="1"/>
  <c r="H59" i="21" s="1"/>
  <c r="D59" i="21"/>
  <c r="E68" i="21"/>
  <c r="F68" i="21" s="1"/>
  <c r="G68" i="21" s="1"/>
  <c r="H68" i="21" s="1"/>
  <c r="I68" i="21" s="1"/>
  <c r="J68" i="21" s="1"/>
  <c r="K68" i="21" s="1"/>
  <c r="D68" i="21"/>
  <c r="D23" i="79" l="1"/>
  <c r="D22" i="79"/>
  <c r="D24" i="79"/>
  <c r="P61" i="79"/>
  <c r="I46" i="39" l="1"/>
  <c r="G46" i="39"/>
  <c r="E46" i="39"/>
  <c r="E71" i="39"/>
  <c r="F71" i="39" s="1"/>
  <c r="G71" i="39" s="1"/>
  <c r="H71" i="39" s="1"/>
  <c r="I71" i="39" s="1"/>
  <c r="J71" i="39" s="1"/>
  <c r="K71" i="39" s="1"/>
  <c r="L71" i="39" s="1"/>
  <c r="D71" i="39"/>
  <c r="E117" i="39"/>
  <c r="F117" i="39" s="1"/>
  <c r="G117" i="39" s="1"/>
  <c r="H117" i="39" s="1"/>
  <c r="I117" i="39" s="1"/>
  <c r="J117" i="39" s="1"/>
  <c r="K117" i="39" s="1"/>
  <c r="D117" i="39"/>
  <c r="I38" i="39"/>
  <c r="G38" i="39"/>
  <c r="E38" i="39"/>
  <c r="C38" i="39"/>
  <c r="E80" i="39"/>
  <c r="F80" i="39" s="1"/>
  <c r="G80" i="39" s="1"/>
  <c r="H80" i="39" s="1"/>
  <c r="I80" i="39" s="1"/>
  <c r="J80" i="39" s="1"/>
  <c r="K80" i="39" s="1"/>
  <c r="L80" i="39" s="1"/>
  <c r="D80" i="39"/>
  <c r="I7" i="39"/>
  <c r="G7" i="39"/>
  <c r="E7" i="39"/>
  <c r="I5" i="39"/>
  <c r="G5" i="39"/>
  <c r="E5" i="39"/>
  <c r="G35" i="77" l="1"/>
  <c r="G22" i="77"/>
  <c r="G36" i="77" s="1"/>
  <c r="F18" i="77"/>
  <c r="G17" i="77"/>
  <c r="G15" i="77"/>
  <c r="G18" i="77" s="1"/>
  <c r="F15" i="77"/>
  <c r="C11" i="4"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7" i="76"/>
  <c r="E10" i="76"/>
  <c r="B12" i="76"/>
  <c r="E9" i="76"/>
  <c r="E12" i="76"/>
  <c r="B13" i="76"/>
  <c r="E13" i="76"/>
  <c r="E7" i="76"/>
  <c r="B11" i="76"/>
  <c r="E11" i="76"/>
  <c r="B9" i="76"/>
  <c r="B10"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D5" i="73"/>
  <c r="F5" i="73"/>
  <c r="D6" i="73"/>
  <c r="F4" i="73"/>
  <c r="F3" i="73"/>
  <c r="D3" i="73"/>
  <c r="I1" i="73" l="1"/>
  <c r="B39" i="1" s="1"/>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H19" i="21" s="1"/>
  <c r="G20" i="20"/>
  <c r="B86" i="43" s="1"/>
  <c r="C22" i="20"/>
  <c r="AO13" i="1"/>
  <c r="AO11" i="1"/>
  <c r="AO10"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0" i="1" s="1"/>
  <c r="M10" i="1" s="1"/>
  <c r="O10"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U34"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C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AC35"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J51" i="15" l="1"/>
  <c r="AB38" i="21"/>
  <c r="S40" i="21"/>
  <c r="AB41" i="21"/>
  <c r="I4" i="6"/>
  <c r="G3" i="43" s="1"/>
  <c r="B113" i="43" s="1"/>
  <c r="BA15" i="3"/>
  <c r="K13" i="1"/>
  <c r="M13" i="1" s="1"/>
  <c r="O13" i="1" s="1"/>
  <c r="P13" i="1" s="1"/>
  <c r="M8" i="1"/>
  <c r="O8" i="1" s="1"/>
  <c r="P8" i="1" s="1"/>
  <c r="F3" i="35"/>
  <c r="G1" i="79"/>
  <c r="H17" i="21"/>
  <c r="AB17" i="21" s="1"/>
  <c r="W35" i="39"/>
  <c r="U43" i="21"/>
  <c r="U35" i="21"/>
  <c r="S42" i="21"/>
  <c r="W44" i="21"/>
  <c r="F46" i="21"/>
  <c r="AA46" i="21" s="1"/>
  <c r="U26" i="21"/>
  <c r="S12" i="21"/>
  <c r="AA12" i="21"/>
  <c r="J12" i="21"/>
  <c r="AC12" i="21" s="1"/>
  <c r="U10" i="21"/>
  <c r="BE5" i="3"/>
  <c r="E12" i="6" s="1"/>
  <c r="W23" i="39"/>
  <c r="AZ15" i="3"/>
  <c r="BL15" i="3"/>
  <c r="E8" i="6"/>
  <c r="F27" i="6" s="1"/>
  <c r="A15" i="62"/>
  <c r="B61" i="72"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C28" i="7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6" i="67"/>
  <c r="F7" i="67"/>
  <c r="M22" i="79"/>
  <c r="F16" i="79"/>
  <c r="J15" i="15"/>
  <c r="F8" i="15"/>
  <c r="F37" i="67"/>
  <c r="C14" i="79"/>
  <c r="F42" i="79"/>
  <c r="F37" i="15"/>
  <c r="F9" i="15"/>
  <c r="C76" i="15"/>
  <c r="M8" i="79"/>
  <c r="M23" i="79"/>
  <c r="M28" i="67"/>
  <c r="M22" i="15"/>
  <c r="M26" i="67"/>
  <c r="F9" i="79"/>
  <c r="M24" i="79"/>
  <c r="M23" i="67"/>
  <c r="F26" i="15"/>
  <c r="L48" i="67"/>
  <c r="F13" i="79"/>
  <c r="L48" i="15"/>
  <c r="C76" i="67"/>
  <c r="L47" i="15"/>
  <c r="F42" i="15"/>
  <c r="F37" i="79"/>
  <c r="F7" i="79"/>
  <c r="F6" i="15"/>
  <c r="M9" i="79"/>
  <c r="F8" i="79"/>
  <c r="M29" i="15"/>
  <c r="M26" i="15"/>
  <c r="M6" i="15"/>
  <c r="M8" i="67"/>
  <c r="M6" i="67"/>
  <c r="G1" i="73"/>
  <c r="F9" i="67"/>
  <c r="M9" i="15"/>
  <c r="C76" i="79"/>
  <c r="M6" i="79"/>
  <c r="M29" i="67"/>
  <c r="M8" i="15"/>
  <c r="F38" i="67"/>
  <c r="J15" i="79"/>
  <c r="M27" i="79"/>
  <c r="M24" i="15"/>
  <c r="F7" i="15"/>
  <c r="F43" i="15"/>
  <c r="F43" i="79"/>
  <c r="M29" i="79"/>
  <c r="F40" i="67"/>
  <c r="F13" i="15"/>
  <c r="F36" i="15"/>
  <c r="M26" i="79"/>
  <c r="F26" i="79"/>
  <c r="M28" i="15"/>
  <c r="L47" i="67"/>
  <c r="F40" i="15"/>
  <c r="M28" i="79"/>
  <c r="F38" i="79"/>
  <c r="F16" i="67"/>
  <c r="M24" i="67"/>
  <c r="F13" i="67"/>
  <c r="F6" i="79"/>
  <c r="L47" i="79"/>
  <c r="M23" i="15"/>
  <c r="F16" i="15"/>
  <c r="M9" i="67"/>
  <c r="F26" i="67"/>
  <c r="F42" i="67"/>
  <c r="M22" i="67"/>
  <c r="F40" i="79"/>
  <c r="F36" i="79"/>
  <c r="J15" i="67"/>
  <c r="F8" i="67"/>
  <c r="F38" i="15"/>
  <c r="F36" i="67"/>
  <c r="L48" i="79"/>
  <c r="F43" i="67"/>
  <c r="AC11" i="43" l="1"/>
  <c r="AC13" i="43" s="1"/>
  <c r="AF11" i="43"/>
  <c r="AF13" i="43" s="1"/>
  <c r="M101" i="43"/>
  <c r="M109" i="43" s="1"/>
  <c r="Z7" i="43"/>
  <c r="H22" i="43"/>
  <c r="J101" i="43"/>
  <c r="J107" i="43" s="1"/>
  <c r="N101" i="43"/>
  <c r="N104" i="43" s="1"/>
  <c r="F22" i="43"/>
  <c r="Y11" i="43"/>
  <c r="Y13" i="43" s="1"/>
  <c r="AG11" i="43"/>
  <c r="AG13" i="43" s="1"/>
  <c r="AB11" i="43"/>
  <c r="AB13" i="43" s="1"/>
  <c r="AJ11" i="43"/>
  <c r="AJ13" i="43" s="1"/>
  <c r="E101" i="43"/>
  <c r="E104" i="43" s="1"/>
  <c r="H101" i="43"/>
  <c r="G101" i="43"/>
  <c r="G109" i="43" s="1"/>
  <c r="K101" i="43"/>
  <c r="K109" i="43" s="1"/>
  <c r="B115" i="43"/>
  <c r="C115" i="43" s="1"/>
  <c r="I118" i="43"/>
  <c r="J118" i="43" s="1"/>
  <c r="K118" i="43" s="1"/>
  <c r="L118" i="43" s="1"/>
  <c r="M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D118" i="43"/>
  <c r="E118" i="43" s="1"/>
  <c r="F118" i="43" s="1"/>
  <c r="B116" i="43"/>
  <c r="C116" i="43" s="1"/>
  <c r="I116" i="43"/>
  <c r="J116" i="43" s="1"/>
  <c r="K116" i="43" s="1"/>
  <c r="L116" i="43" s="1"/>
  <c r="M116" i="43" s="1"/>
  <c r="AA11" i="43"/>
  <c r="AA13" i="43" s="1"/>
  <c r="AE11" i="43"/>
  <c r="AE13" i="43" s="1"/>
  <c r="AI11" i="43"/>
  <c r="AI13" i="43" s="1"/>
  <c r="Z11" i="43"/>
  <c r="Z13" i="43" s="1"/>
  <c r="AD11" i="43"/>
  <c r="AD13" i="43" s="1"/>
  <c r="AH11" i="43"/>
  <c r="AH13" i="43" s="1"/>
  <c r="J109" i="43"/>
  <c r="K106" i="43"/>
  <c r="J102" i="43"/>
  <c r="G22" i="43"/>
  <c r="I101" i="43"/>
  <c r="I109" i="43" s="1"/>
  <c r="D101" i="43"/>
  <c r="D109" i="43" s="1"/>
  <c r="L101" i="43"/>
  <c r="L109" i="43" s="1"/>
  <c r="N104" i="46"/>
  <c r="C101" i="43"/>
  <c r="E22" i="43"/>
  <c r="D22" i="43" s="1"/>
  <c r="F101" i="43"/>
  <c r="E13" i="6"/>
  <c r="E58" i="40" s="1"/>
  <c r="E15" i="6"/>
  <c r="L56" i="79"/>
  <c r="I54" i="79"/>
  <c r="J57" i="79"/>
  <c r="J55" i="79" s="1"/>
  <c r="J58" i="79" s="1"/>
  <c r="Q50" i="79" s="1"/>
  <c r="L57" i="79"/>
  <c r="J53" i="79"/>
  <c r="L60" i="79"/>
  <c r="F68" i="79"/>
  <c r="F51" i="79"/>
  <c r="F64" i="79"/>
  <c r="C18" i="79"/>
  <c r="C15" i="79"/>
  <c r="Q71" i="79"/>
  <c r="C27" i="79"/>
  <c r="F71" i="79"/>
  <c r="C6" i="79"/>
  <c r="C10" i="79"/>
  <c r="F65" i="79"/>
  <c r="L58" i="79"/>
  <c r="N59" i="79"/>
  <c r="M59" i="79"/>
  <c r="L59" i="79" s="1"/>
  <c r="M7" i="79"/>
  <c r="J6" i="79" s="1"/>
  <c r="F50" i="79"/>
  <c r="F66" i="79"/>
  <c r="W17" i="21"/>
  <c r="AC15" i="21"/>
  <c r="E62" i="39"/>
  <c r="E57" i="40"/>
  <c r="E56" i="40"/>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M102" i="43"/>
  <c r="M104" i="43"/>
  <c r="M106" i="43"/>
  <c r="M107" i="43"/>
  <c r="M103" i="43"/>
  <c r="M105" i="43"/>
  <c r="H102" i="43"/>
  <c r="H107" i="43"/>
  <c r="H103" i="43"/>
  <c r="H106" i="43"/>
  <c r="H104" i="43"/>
  <c r="H105" i="43"/>
  <c r="K19" i="6"/>
  <c r="K25" i="6"/>
  <c r="M25" i="6" s="1"/>
  <c r="I25" i="6" s="1"/>
  <c r="S25" i="6" s="1"/>
  <c r="K23" i="6"/>
  <c r="M23" i="6" s="1"/>
  <c r="I23" i="6" s="1"/>
  <c r="S23" i="6" s="1"/>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31" i="15"/>
  <c r="F59" i="67"/>
  <c r="F59" i="15"/>
  <c r="M17" i="15"/>
  <c r="F31" i="67"/>
  <c r="M17" i="67"/>
  <c r="C17" i="15"/>
  <c r="C16" i="67"/>
  <c r="C16" i="79"/>
  <c r="C17" i="79"/>
  <c r="C16" i="15"/>
  <c r="C19" i="79" l="1"/>
  <c r="C20" i="79" s="1"/>
  <c r="C26" i="79" s="1"/>
  <c r="D105" i="43"/>
  <c r="D102" i="43"/>
  <c r="E106" i="43"/>
  <c r="D106" i="43"/>
  <c r="E103" i="43"/>
  <c r="E102" i="43"/>
  <c r="K16" i="1"/>
  <c r="D107" i="43"/>
  <c r="D104" i="43"/>
  <c r="D103" i="43"/>
  <c r="E109" i="43"/>
  <c r="E105" i="43"/>
  <c r="E107" i="43"/>
  <c r="D113" i="43"/>
  <c r="J22" i="43" s="1"/>
  <c r="N105" i="43"/>
  <c r="G107" i="43"/>
  <c r="G104" i="43"/>
  <c r="K102" i="43"/>
  <c r="G105" i="43"/>
  <c r="G103" i="43"/>
  <c r="G102" i="43"/>
  <c r="G106" i="43"/>
  <c r="N102" i="43"/>
  <c r="N106" i="43"/>
  <c r="N107" i="43"/>
  <c r="N103" i="43"/>
  <c r="N109" i="43"/>
  <c r="K103" i="43"/>
  <c r="K107" i="43"/>
  <c r="K105" i="43"/>
  <c r="K104" i="43"/>
  <c r="J104" i="43"/>
  <c r="J105" i="43"/>
  <c r="J103" i="43"/>
  <c r="J106" i="43"/>
  <c r="F104" i="43"/>
  <c r="F107" i="43"/>
  <c r="F102" i="43"/>
  <c r="F105" i="43"/>
  <c r="F109" i="43"/>
  <c r="F106" i="43"/>
  <c r="F103" i="43"/>
  <c r="C104" i="43"/>
  <c r="C105" i="43"/>
  <c r="C106" i="43"/>
  <c r="C107" i="43"/>
  <c r="C103" i="43"/>
  <c r="C102" i="43"/>
  <c r="S5" i="43" s="1"/>
  <c r="T5" i="43" s="1"/>
  <c r="V5" i="43" s="1"/>
  <c r="C109" i="43"/>
  <c r="S3" i="43"/>
  <c r="S6" i="43"/>
  <c r="S2" i="43"/>
  <c r="S6" i="1"/>
  <c r="AQ6" i="1" s="1"/>
  <c r="S13" i="1"/>
  <c r="S9" i="1"/>
  <c r="S12" i="1"/>
  <c r="S10" i="1"/>
  <c r="S11" i="1"/>
  <c r="S7" i="1"/>
  <c r="E7" i="70" s="1"/>
  <c r="E60" i="40"/>
  <c r="E65" i="39"/>
  <c r="E66" i="39" s="1"/>
  <c r="Q74" i="79"/>
  <c r="Q61" i="79"/>
  <c r="Q73" i="79"/>
  <c r="Q60" i="79"/>
  <c r="C5" i="79"/>
  <c r="J10" i="79"/>
  <c r="J5" i="79" s="1"/>
  <c r="C49" i="79"/>
  <c r="C48" i="79" s="1"/>
  <c r="Q66" i="79"/>
  <c r="Q57" i="79"/>
  <c r="F1" i="79"/>
  <c r="Q52" i="79"/>
  <c r="C24" i="79"/>
  <c r="M21" i="6"/>
  <c r="I21" i="6" s="1"/>
  <c r="S21" i="6" s="1"/>
  <c r="S8" i="1"/>
  <c r="E8" i="70" s="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S7" i="43" l="1"/>
  <c r="T7" i="43" s="1"/>
  <c r="V7" i="43" s="1"/>
  <c r="C23" i="79"/>
  <c r="S4" i="43"/>
  <c r="T4" i="43" s="1"/>
  <c r="V4" i="43" s="1"/>
  <c r="C23" i="43"/>
  <c r="C21" i="43" s="1"/>
  <c r="C29" i="43" s="1"/>
  <c r="AQ7" i="1"/>
  <c r="AQ11" i="1"/>
  <c r="T11" i="1"/>
  <c r="AR11" i="1"/>
  <c r="AR12" i="1"/>
  <c r="AQ12" i="1"/>
  <c r="T12" i="1"/>
  <c r="AR13" i="1"/>
  <c r="AQ13" i="1"/>
  <c r="T13" i="1"/>
  <c r="AQ10" i="1"/>
  <c r="AR10" i="1"/>
  <c r="T10" i="1"/>
  <c r="AR9" i="1"/>
  <c r="T9" i="1"/>
  <c r="AQ9" i="1"/>
  <c r="C66" i="79"/>
  <c r="C60" i="79"/>
  <c r="C32" i="79"/>
  <c r="C38" i="79"/>
  <c r="J26" i="79"/>
  <c r="J18" i="79"/>
  <c r="J24" i="79"/>
  <c r="C29" i="79"/>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57" i="79" l="1"/>
  <c r="C36" i="79"/>
  <c r="J19" i="79"/>
  <c r="J14" i="79"/>
  <c r="C13" i="79"/>
  <c r="Q49" i="79"/>
  <c r="C33" i="79"/>
  <c r="J59" i="79"/>
  <c r="J60" i="79" s="1"/>
  <c r="C34" i="11"/>
  <c r="C38" i="11" s="1"/>
  <c r="R20" i="6"/>
  <c r="C36" i="11"/>
  <c r="J24" i="67"/>
  <c r="J18" i="67"/>
  <c r="J24" i="15"/>
  <c r="J18" i="15"/>
  <c r="G36" i="36"/>
  <c r="R37" i="36"/>
  <c r="AB7" i="34"/>
  <c r="T49" i="34" s="1"/>
  <c r="G49" i="34" s="1"/>
  <c r="G53" i="34" s="1"/>
  <c r="H53" i="34" s="1"/>
  <c r="W7" i="21"/>
  <c r="AA7" i="21"/>
  <c r="R26" i="6"/>
  <c r="R23" i="6"/>
  <c r="R24" i="6"/>
  <c r="R21" i="6"/>
  <c r="R22" i="6"/>
  <c r="D30" i="6"/>
  <c r="D16" i="6"/>
  <c r="A7" i="51"/>
  <c r="B7" i="72" s="1"/>
  <c r="C4" i="52"/>
  <c r="B45" i="72" s="1"/>
  <c r="A10" i="51"/>
  <c r="B9" i="72" s="1"/>
  <c r="D27" i="6"/>
  <c r="D19" i="68"/>
  <c r="C10" i="68"/>
  <c r="B29" i="1" s="1"/>
  <c r="C8" i="68" s="1"/>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14" i="12"/>
  <c r="E6" i="76"/>
  <c r="R10" i="1" l="1"/>
  <c r="R13" i="1"/>
  <c r="R11" i="1"/>
  <c r="R9" i="1"/>
  <c r="R12" i="1"/>
  <c r="R8" i="1"/>
  <c r="R7" i="1"/>
  <c r="Q48" i="79"/>
  <c r="L46" i="79"/>
  <c r="J13" i="79"/>
  <c r="J23" i="79" s="1"/>
  <c r="J22" i="79"/>
  <c r="C75" i="79"/>
  <c r="Q70" i="79"/>
  <c r="C37" i="79"/>
  <c r="C56" i="79"/>
  <c r="C65" i="79" s="1"/>
  <c r="C64" i="79"/>
  <c r="C61" i="79"/>
  <c r="C18" i="12"/>
  <c r="D31" i="6"/>
  <c r="I6" i="6" s="1"/>
  <c r="E2" i="76"/>
  <c r="B2" i="43"/>
  <c r="G54" i="34"/>
  <c r="H54" i="34"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M21" i="15"/>
  <c r="F35" i="79"/>
  <c r="M21" i="79"/>
  <c r="B6" i="76"/>
  <c r="M21" i="67"/>
  <c r="F35" i="15"/>
  <c r="J20" i="79" l="1"/>
  <c r="J17" i="79" s="1"/>
  <c r="J16" i="79" s="1"/>
  <c r="J25" i="79" s="1"/>
  <c r="F63" i="79"/>
  <c r="C62" i="79" s="1"/>
  <c r="C34" i="79"/>
  <c r="C31" i="79" s="1"/>
  <c r="C59" i="79"/>
  <c r="C30" i="79"/>
  <c r="C39" i="79" s="1"/>
  <c r="Q69" i="79" s="1"/>
  <c r="Q68" i="79" s="1"/>
  <c r="C58" i="79"/>
  <c r="C67" i="79" s="1"/>
  <c r="C21" i="12"/>
  <c r="C22" i="12" s="1"/>
  <c r="I5" i="6"/>
  <c r="B2" i="76"/>
  <c r="B3" i="76" s="1"/>
  <c r="B3" i="43"/>
  <c r="F63" i="67"/>
  <c r="C62" i="67" s="1"/>
  <c r="C34" i="67"/>
  <c r="J20" i="67"/>
  <c r="C24" i="68"/>
  <c r="J20" i="15"/>
  <c r="F63" i="15"/>
  <c r="C62" i="15" s="1"/>
  <c r="C34" i="15"/>
  <c r="R16" i="1"/>
  <c r="C33" i="68"/>
  <c r="I63" i="40"/>
  <c r="H65" i="40"/>
  <c r="C39" i="11"/>
  <c r="C43" i="11" s="1"/>
  <c r="C41" i="11" s="1"/>
  <c r="I70" i="39"/>
  <c r="C80" i="79" l="1"/>
  <c r="C79" i="79" s="1"/>
  <c r="F11" i="21"/>
  <c r="J11" i="21"/>
  <c r="H11" i="21"/>
  <c r="F11" i="39"/>
  <c r="H11" i="39"/>
  <c r="J11" i="39"/>
  <c r="C39" i="68"/>
  <c r="C43" i="68" s="1"/>
  <c r="C42" i="68"/>
  <c r="J63" i="40"/>
  <c r="I65" i="40"/>
  <c r="C46" i="11"/>
  <c r="C45" i="11" s="1"/>
  <c r="C49" i="11" s="1"/>
  <c r="C51" i="11" s="1"/>
  <c r="C52" i="11" s="1"/>
  <c r="B2" i="11" s="1"/>
  <c r="B3" i="11" s="1"/>
  <c r="J70" i="39"/>
  <c r="L51" i="79"/>
  <c r="Q67" i="79" l="1"/>
  <c r="U11" i="39"/>
  <c r="AB11" i="39"/>
  <c r="U11" i="21"/>
  <c r="AB11" i="21"/>
  <c r="T48" i="21" s="1"/>
  <c r="G48" i="21" s="1"/>
  <c r="W11" i="39"/>
  <c r="AC11" i="39"/>
  <c r="AA11" i="39"/>
  <c r="S11" i="39"/>
  <c r="W11" i="21"/>
  <c r="AC11" i="21"/>
  <c r="V48" i="21" s="1"/>
  <c r="I48" i="21" s="1"/>
  <c r="S11" i="21"/>
  <c r="AA11" i="21"/>
  <c r="R48" i="21" s="1"/>
  <c r="C41" i="68"/>
  <c r="C46" i="68"/>
  <c r="C45" i="68" s="1"/>
  <c r="K63" i="40"/>
  <c r="J65" i="40"/>
  <c r="K70" i="39"/>
  <c r="C56" i="11"/>
  <c r="C57" i="11" s="1"/>
  <c r="E48" i="21" l="1"/>
  <c r="R49" i="21"/>
  <c r="I52" i="21"/>
  <c r="J52" i="21" s="1"/>
  <c r="G52" i="21"/>
  <c r="H52" i="21" s="1"/>
  <c r="G53" i="21"/>
  <c r="H53" i="21" s="1"/>
  <c r="C49" i="68"/>
  <c r="C51" i="68" s="1"/>
  <c r="L63" i="40"/>
  <c r="K65" i="40"/>
  <c r="L70" i="39"/>
  <c r="E2" i="70"/>
  <c r="C34" i="69"/>
  <c r="C17" i="67"/>
  <c r="E52" i="21" l="1"/>
  <c r="F52" i="21" s="1"/>
  <c r="E53" i="21"/>
  <c r="F53" i="21" s="1"/>
  <c r="I53" i="21"/>
  <c r="J53" i="21" s="1"/>
  <c r="C48" i="21"/>
  <c r="C49" i="21"/>
  <c r="C6" i="12"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79"/>
  <c r="F69" i="79" l="1"/>
  <c r="C68" i="79" s="1"/>
  <c r="C40" i="79"/>
  <c r="J29" i="79"/>
  <c r="C66" i="15"/>
  <c r="C60" i="15"/>
  <c r="C59" i="15" s="1"/>
  <c r="AG6" i="1"/>
  <c r="C80" i="15"/>
  <c r="C79" i="15" s="1"/>
  <c r="C65" i="15"/>
  <c r="Q68" i="15"/>
  <c r="L57" i="15"/>
  <c r="L60" i="15" s="1"/>
  <c r="F41" i="67"/>
  <c r="F41" i="15"/>
  <c r="M27" i="15"/>
  <c r="M27" i="67"/>
  <c r="L51" i="15"/>
  <c r="Q67" i="15" l="1"/>
  <c r="Q47" i="79"/>
  <c r="Q53" i="79" s="1"/>
  <c r="B2" i="79"/>
  <c r="G26" i="9" s="1"/>
  <c r="Q65" i="79"/>
  <c r="Q75" i="79" s="1"/>
  <c r="C83" i="79"/>
  <c r="C82" i="79" s="1"/>
  <c r="C43" i="79"/>
  <c r="Q56" i="79"/>
  <c r="Q62" i="79" s="1"/>
  <c r="C71" i="79"/>
  <c r="C46" i="79"/>
  <c r="J26" i="15"/>
  <c r="J29" i="15" s="1"/>
  <c r="J26" i="67"/>
  <c r="J29" i="67" s="1"/>
  <c r="C58" i="15"/>
  <c r="C67" i="15" s="1"/>
  <c r="F69" i="15"/>
  <c r="C40" i="15"/>
  <c r="C43" i="15" s="1"/>
  <c r="L46" i="15"/>
  <c r="Q57" i="15"/>
  <c r="Q66" i="15"/>
  <c r="F69" i="67"/>
  <c r="C68" i="67" s="1"/>
  <c r="C71" i="67" s="1"/>
  <c r="C40" i="67"/>
  <c r="C83" i="67" s="1"/>
  <c r="C82" i="67" s="1"/>
  <c r="B3" i="79" l="1"/>
  <c r="E6" i="12" s="1"/>
  <c r="E8" i="12"/>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6" i="1"/>
  <c r="AO8" i="1"/>
  <c r="B3" i="15" l="1"/>
  <c r="D6" i="12" s="1"/>
  <c r="D8" i="12"/>
  <c r="B8" i="70"/>
  <c r="B7" i="70"/>
  <c r="B6" i="70"/>
  <c r="C46" i="15"/>
  <c r="B2" i="69"/>
  <c r="B3" i="69" s="1"/>
  <c r="B3" i="67"/>
  <c r="D2" i="34"/>
  <c r="E2" i="68"/>
  <c r="D2" i="35"/>
  <c r="F20" i="31"/>
  <c r="D2" i="36"/>
  <c r="D2" i="33"/>
  <c r="D2" i="21"/>
  <c r="D2" i="37"/>
  <c r="B20" i="31" l="1"/>
  <c r="B2" i="36"/>
  <c r="B3" i="36" s="1"/>
  <c r="B2" i="35"/>
  <c r="B3" i="35" s="1"/>
  <c r="B2" i="37"/>
  <c r="B3" i="37" s="1"/>
  <c r="B2" i="34"/>
  <c r="B3" i="34" s="1"/>
  <c r="B2" i="21"/>
  <c r="G25" i="9" s="1"/>
  <c r="B2" i="70"/>
  <c r="B3" i="70" s="1"/>
  <c r="H26" i="9" l="1"/>
  <c r="I26" i="9" s="1"/>
  <c r="B3" i="21"/>
  <c r="C8" i="12"/>
  <c r="C4" i="12" s="1"/>
  <c r="D34" i="9"/>
  <c r="C31" i="12" l="1"/>
  <c r="C23" i="12"/>
  <c r="J7" i="33"/>
  <c r="W7" i="33" s="1"/>
  <c r="F7" i="33"/>
  <c r="S7" i="33" s="1"/>
  <c r="H7" i="33"/>
  <c r="AB7" i="33" s="1"/>
  <c r="T48" i="33" s="1"/>
  <c r="G48" i="33" s="1"/>
  <c r="C27" i="12" l="1"/>
  <c r="C25" i="12" s="1"/>
  <c r="C30" i="12"/>
  <c r="C28" i="12" s="1"/>
  <c r="G52" i="33"/>
  <c r="H52" i="33" s="1"/>
  <c r="AA7" i="33"/>
  <c r="R48" i="33" s="1"/>
  <c r="U7" i="33"/>
  <c r="AC7" i="33"/>
  <c r="V48" i="33" s="1"/>
  <c r="I48" i="33" s="1"/>
  <c r="C32" i="12" l="1"/>
  <c r="B2" i="12" s="1"/>
  <c r="I52" i="33"/>
  <c r="J52" i="33" s="1"/>
  <c r="R49" i="33"/>
  <c r="E48" i="33"/>
  <c r="G53" i="33"/>
  <c r="H53" i="33" s="1"/>
  <c r="D19" i="9"/>
  <c r="D102" i="9" l="1"/>
  <c r="D21" i="9"/>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H107" i="9"/>
  <c r="C57" i="68" l="1"/>
  <c r="C56" i="68" s="1"/>
  <c r="B2" i="68"/>
  <c r="G24" i="9" s="1"/>
  <c r="D122" i="9"/>
  <c r="H108" i="9"/>
  <c r="D15" i="53" s="1"/>
  <c r="B31" i="72" s="1"/>
  <c r="D13" i="53"/>
  <c r="C19" i="9"/>
  <c r="H24" i="9" l="1"/>
  <c r="C21" i="9"/>
  <c r="C102" i="9"/>
  <c r="G19" i="9"/>
  <c r="D22" i="9"/>
  <c r="B3" i="68"/>
  <c r="I24" i="9" s="1"/>
  <c r="D14" i="53"/>
  <c r="B32" i="72" s="1"/>
  <c r="B30" i="72"/>
  <c r="G14" i="74"/>
  <c r="B6" i="74" s="1"/>
  <c r="D123" i="9"/>
  <c r="D9" i="52" s="1"/>
  <c r="D8" i="52"/>
  <c r="C20" i="9"/>
  <c r="J24" i="9" l="1"/>
  <c r="D14" i="74" s="1"/>
  <c r="C103" i="9"/>
  <c r="G20" i="9"/>
  <c r="G21" i="9"/>
  <c r="C32" i="9"/>
  <c r="D6" i="74"/>
  <c r="C6" i="74"/>
  <c r="K24" i="9" l="1"/>
  <c r="C35" i="9"/>
  <c r="F118" i="9" s="1"/>
  <c r="H118" i="9"/>
  <c r="G118" i="9" l="1"/>
  <c r="G4" i="52" s="1"/>
  <c r="B52" i="72" s="1"/>
  <c r="F4" i="52"/>
  <c r="B51" i="72" s="1"/>
  <c r="F119" i="9"/>
  <c r="F5" i="52" s="1"/>
  <c r="B53" i="72" s="1"/>
  <c r="C34" i="9"/>
  <c r="D118" i="9" s="1"/>
  <c r="C104" i="9"/>
  <c r="I118" i="9"/>
  <c r="H101" i="9"/>
  <c r="H119" i="9"/>
  <c r="H5" i="52" s="1"/>
  <c r="H4" i="52"/>
  <c r="B5" i="74" l="1"/>
  <c r="E14" i="74"/>
  <c r="F14" i="74"/>
  <c r="D45" i="9"/>
  <c r="H109" i="9"/>
  <c r="M48" i="9"/>
  <c r="D5" i="53"/>
  <c r="C105" i="9"/>
  <c r="E118" i="9"/>
  <c r="E4" i="52" s="1"/>
  <c r="B48" i="72" s="1"/>
  <c r="I4" i="52"/>
  <c r="H102" i="9"/>
  <c r="D7" i="53" s="1"/>
  <c r="B21" i="72" s="1"/>
  <c r="D119" i="9"/>
  <c r="D5" i="52" s="1"/>
  <c r="B49" i="72" s="1"/>
  <c r="D4" i="52"/>
  <c r="B47" i="72" s="1"/>
  <c r="AD3" i="71"/>
  <c r="P21" i="43" s="1"/>
  <c r="M49" i="9" l="1"/>
  <c r="D16" i="53"/>
  <c r="H110" i="9"/>
  <c r="D18" i="53" s="1"/>
  <c r="B35" i="72" s="1"/>
  <c r="D124" i="9"/>
  <c r="D53" i="9"/>
  <c r="D52" i="9"/>
  <c r="C93" i="9"/>
  <c r="C86" i="9" s="1"/>
  <c r="C78" i="9"/>
  <c r="C73" i="9" s="1"/>
  <c r="C72" i="9"/>
  <c r="C64" i="9"/>
  <c r="C63" i="9" s="1"/>
  <c r="C67" i="9" s="1"/>
  <c r="C68" i="9" s="1"/>
  <c r="D54" i="9" s="1"/>
  <c r="C85" i="9"/>
  <c r="D55" i="9"/>
  <c r="M53" i="9" s="1"/>
  <c r="B20" i="72"/>
  <c r="D6" i="53"/>
  <c r="B22" i="72" s="1"/>
  <c r="D5" i="74"/>
  <c r="C5" i="74"/>
  <c r="P22" i="43"/>
  <c r="P23" i="43"/>
  <c r="B71" i="39" s="1"/>
  <c r="P24" i="43"/>
  <c r="B66" i="40" s="1"/>
  <c r="P25" i="43"/>
  <c r="C79" i="9" l="1"/>
  <c r="C95" i="9"/>
  <c r="D10" i="52"/>
  <c r="D125" i="9"/>
  <c r="D11" i="52" s="1"/>
  <c r="H14" i="74"/>
  <c r="B7" i="74" s="1"/>
  <c r="D17" i="53"/>
  <c r="B36" i="72" s="1"/>
  <c r="B34" i="72"/>
  <c r="C96" i="9"/>
  <c r="E96" i="9" s="1"/>
  <c r="E97" i="9" s="1"/>
  <c r="C80" i="9"/>
  <c r="E80" i="9" s="1"/>
  <c r="E81" i="9" s="1"/>
  <c r="L67" i="9"/>
  <c r="M67" i="9" s="1"/>
  <c r="L63" i="9"/>
  <c r="M63" i="9" s="1"/>
  <c r="L64" i="9"/>
  <c r="M64" i="9" s="1"/>
  <c r="L68" i="9"/>
  <c r="M68" i="9" s="1"/>
  <c r="L66" i="9"/>
  <c r="M66" i="9" s="1"/>
  <c r="L65" i="9"/>
  <c r="M65" i="9" s="1"/>
  <c r="M69" i="9" l="1"/>
  <c r="N69" i="9" s="1"/>
  <c r="C81" i="9"/>
  <c r="C97" i="9"/>
  <c r="D58" i="9" s="1"/>
  <c r="D56" i="9" s="1"/>
  <c r="M54" i="9" s="1"/>
  <c r="N57" i="9" s="1"/>
  <c r="C7" i="74"/>
  <c r="D7"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<sst xmlns="http://schemas.openxmlformats.org/spreadsheetml/2006/main" count="8153" uniqueCount="3316">
  <si>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</si>
  <si>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</si>
  <si>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</si>
  <si>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</si>
  <si>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</si>
  <si>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</si>
  <si>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</si>
  <si>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</si>
  <si>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</si>
  <si>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</si>
  <si>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</si>
  <si>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</si>
  <si>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</si>
  <si>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</si>
  <si>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</si>
  <si>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</si>
  <si>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</si>
  <si>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</si>
  <si>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</si>
  <si>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</si>
  <si>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</si>
  <si>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</si>
  <si>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</si>
  <si>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</si>
  <si>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</si>
  <si>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</si>
  <si>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</si>
  <si>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</si>
  <si>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</si>
  <si>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</si>
  <si>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</si>
  <si>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</si>
  <si>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</si>
  <si>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</si>
  <si>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</si>
  <si>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</si>
  <si>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</si>
  <si>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</si>
  <si>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</si>
  <si>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</si>
  <si>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</si>
  <si>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</si>
  <si>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</si>
  <si>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</si>
  <si>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</si>
  <si>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</si>
  <si>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</si>
  <si>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</si>
  <si>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</si>
  <si>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</si>
  <si>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</si>
  <si>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</si>
  <si>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</si>
  <si>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</si>
  <si>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</si>
  <si>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</si>
  <si>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</si>
  <si>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</si>
  <si>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</si>
  <si>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</si>
  <si>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</si>
  <si>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</si>
  <si>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</si>
  <si>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</si>
  <si>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</si>
  <si>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</si>
  <si>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</si>
  <si>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</si>
  <si>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</si>
  <si>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</si>
  <si>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</si>
  <si>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</si>
  <si>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</si>
  <si>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</si>
  <si>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</si>
  <si>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</si>
  <si>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</si>
  <si>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</si>
  <si>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</si>
  <si>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</si>
  <si>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</si>
  <si>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</si>
  <si>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</si>
  <si>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</si>
  <si>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</si>
  <si>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</si>
  <si>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</si>
  <si>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</si>
  <si>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</si>
  <si>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</si>
  <si>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</si>
  <si>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</si>
  <si>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</si>
  <si>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</si>
  <si>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</si>
  <si>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</si>
  <si>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</si>
  <si>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</si>
  <si>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</si>
  <si>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</si>
  <si>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</si>
  <si>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</si>
  <si>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</si>
  <si>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</si>
  <si>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</si>
  <si>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</si>
  <si>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</si>
  <si>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</si>
  <si>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</si>
  <si>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</si>
  <si>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</si>
  <si>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</si>
  <si>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</si>
  <si>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</si>
  <si>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</si>
  <si>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</si>
  <si>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</si>
  <si>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</si>
  <si>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</si>
  <si>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</si>
  <si>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</si>
  <si>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</si>
  <si>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</si>
  <si>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</si>
  <si>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</si>
  <si>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</si>
  <si>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</si>
  <si>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</si>
  <si>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</si>
  <si>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</si>
  <si>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</si>
  <si>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</si>
  <si>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</si>
  <si>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</si>
  <si>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</si>
  <si>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</si>
  <si>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</si>
  <si>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</si>
  <si>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</si>
  <si>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</si>
  <si>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</si>
  <si>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</si>
  <si>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</si>
  <si>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</si>
  <si>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</si>
  <si>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</si>
  <si>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</si>
  <si>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</si>
  <si>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</si>
  <si>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</si>
  <si>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</si>
  <si>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</si>
  <si>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</si>
  <si>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</si>
  <si>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</si>
  <si>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</si>
  <si>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</si>
  <si>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</si>
  <si>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</si>
  <si>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</si>
  <si>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</si>
  <si>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</si>
  <si>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</si>
  <si>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</si>
  <si>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</si>
  <si>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</si>
  <si>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</si>
  <si>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</si>
  <si>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</si>
  <si>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</si>
  <si>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</si>
  <si>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</si>
  <si>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</si>
  <si>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</si>
  <si>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</si>
  <si>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</si>
  <si>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</si>
  <si>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</si>
  <si>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</si>
  <si>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</si>
  <si>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</si>
  <si>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</si>
  <si>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</si>
  <si>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</si>
  <si>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</si>
  <si>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</si>
  <si>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</si>
  <si>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</si>
  <si>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</si>
  <si>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</si>
  <si>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</si>
  <si>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</si>
  <si>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</si>
  <si>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</si>
  <si>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</si>
  <si>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</si>
  <si>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</si>
  <si>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</si>
  <si>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</si>
  <si>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</si>
  <si>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</si>
  <si>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</si>
  <si>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</si>
  <si>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</si>
  <si>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</si>
  <si>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</si>
  <si>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</si>
  <si>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</si>
  <si>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</si>
  <si>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</si>
  <si>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</si>
  <si>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</si>
  <si>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</si>
  <si>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</si>
  <si>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</si>
  <si>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</si>
  <si>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</si>
  <si>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</si>
  <si>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</si>
  <si>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</si>
  <si>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</si>
  <si>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</si>
  <si>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</si>
  <si>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</si>
  <si>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</si>
  <si>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</si>
  <si>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</si>
  <si>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</si>
  <si>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</si>
  <si>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</si>
  <si>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</si>
  <si>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</si>
  <si>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</si>
  <si>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</si>
  <si>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</si>
  <si>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</si>
  <si>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</si>
  <si>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</si>
  <si>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</si>
  <si>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</si>
  <si>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</si>
  <si>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</si>
  <si>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</si>
  <si>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</si>
  <si>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</si>
  <si>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</si>
  <si>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</si>
  <si>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</si>
  <si>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</si>
  <si>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</si>
  <si>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</si>
  <si>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</si>
  <si>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</si>
  <si>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</si>
  <si>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</si>
  <si>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</si>
  <si>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</si>
  <si>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</si>
  <si>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</si>
  <si>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</si>
  <si>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</si>
  <si>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</si>
  <si>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</si>
  <si>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</si>
  <si>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</si>
  <si>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</si>
  <si>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</si>
  <si>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</si>
  <si>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</si>
  <si>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</si>
  <si>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</si>
  <si>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</si>
  <si>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</si>
  <si>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</si>
  <si>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</si>
  <si>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</si>
  <si>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</si>
  <si>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</si>
  <si>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</si>
  <si>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</si>
  <si>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</si>
  <si>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</si>
  <si>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</si>
  <si>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</si>
  <si>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</si>
  <si>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</si>
  <si>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</si>
  <si>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</si>
  <si>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</si>
  <si>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</si>
  <si>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</si>
  <si>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</si>
  <si>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</si>
  <si>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</si>
  <si>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</si>
  <si>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</si>
  <si>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</si>
  <si>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</si>
  <si>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</si>
  <si>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</si>
  <si>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</si>
  <si>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</si>
  <si>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</si>
  <si>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</si>
  <si>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</si>
  <si>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</si>
  <si>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</si>
  <si>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</si>
  <si>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</si>
  <si>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</si>
  <si>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</si>
  <si>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</si>
  <si>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</si>
  <si>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</si>
  <si>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</si>
  <si>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</si>
  <si>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</si>
  <si>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</si>
  <si>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</si>
  <si>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</si>
  <si>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</si>
  <si>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</si>
  <si>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</si>
  <si>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</si>
  <si>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</si>
  <si>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</si>
  <si>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</si>
  <si>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</si>
  <si>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</si>
  <si>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</si>
  <si>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</si>
  <si>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</si>
  <si>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</si>
  <si>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</si>
  <si>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</si>
  <si>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</si>
  <si>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</si>
  <si>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</si>
  <si>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</si>
  <si>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</si>
  <si>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</si>
  <si>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</si>
  <si>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</si>
  <si>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</si>
  <si>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</si>
  <si>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</si>
  <si>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</si>
  <si>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</si>
  <si>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</si>
  <si>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</si>
  <si>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</si>
  <si>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</si>
  <si>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</si>
  <si>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</si>
  <si>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</si>
  <si>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</si>
  <si>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</si>
  <si>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</si>
  <si>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</si>
  <si>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</si>
  <si>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</si>
  <si>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</si>
  <si>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</si>
  <si>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</si>
  <si>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</si>
  <si>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</si>
  <si>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</si>
  <si>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</si>
  <si>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</si>
  <si>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</si>
  <si>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</si>
  <si>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</si>
  <si>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</si>
  <si>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</si>
  <si>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</si>
  <si>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</si>
  <si>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</si>
  <si>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</si>
  <si>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</si>
  <si>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</si>
  <si>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</si>
  <si>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</si>
  <si>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</si>
  <si>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</si>
  <si>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</si>
  <si>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</si>
  <si>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</si>
  <si>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</si>
  <si>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</si>
  <si>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</si>
  <si>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</si>
  <si>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</si>
  <si>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</si>
  <si>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</si>
  <si>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</si>
  <si>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</si>
  <si>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</si>
  <si>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</si>
  <si>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</si>
  <si>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</si>
  <si>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</si>
  <si>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</si>
  <si>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</si>
  <si>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</si>
  <si>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</si>
  <si>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</si>
  <si>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</si>
  <si>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</si>
  <si>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</si>
  <si>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</si>
  <si>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</si>
  <si>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</si>
  <si>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</si>
  <si>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</si>
  <si>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</si>
  <si>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</si>
  <si>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</si>
  <si>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</si>
  <si>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</si>
  <si>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</si>
  <si>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</si>
  <si>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</si>
  <si>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</si>
  <si>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</si>
  <si>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</si>
  <si>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</si>
  <si>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</si>
  <si>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</si>
  <si>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</si>
  <si>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</si>
  <si>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</si>
  <si>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</si>
  <si>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</si>
  <si>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</si>
  <si>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</si>
  <si>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</si>
  <si>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</si>
  <si>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</si>
  <si>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</si>
  <si>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</si>
  <si>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</si>
  <si>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</si>
  <si>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</si>
  <si>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</si>
  <si>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</si>
  <si>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</si>
  <si>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</si>
  <si>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</si>
  <si>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</si>
  <si>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</si>
  <si>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</si>
  <si>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</si>
  <si>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</si>
  <si>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</si>
  <si>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</si>
  <si>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</si>
  <si>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</si>
  <si>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</si>
  <si>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</si>
  <si>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</si>
  <si>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</si>
  <si>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</si>
  <si>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</si>
  <si>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</si>
  <si>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</si>
  <si>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</si>
  <si>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</si>
  <si>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</si>
  <si>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</si>
  <si>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</si>
  <si>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</si>
  <si>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</si>
  <si>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</si>
  <si>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</si>
  <si>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</si>
  <si>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</si>
  <si>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</si>
  <si>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</si>
  <si>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</si>
  <si>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</si>
  <si>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</si>
  <si>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</si>
  <si>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</si>
  <si>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</si>
  <si>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</si>
  <si>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</si>
  <si>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</si>
  <si>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</si>
  <si>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</si>
  <si>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</si>
  <si>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</si>
  <si>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</si>
  <si>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</si>
  <si>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</si>
  <si>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</si>
  <si>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</si>
  <si>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</si>
  <si>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</si>
  <si>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</si>
  <si>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</si>
  <si>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</si>
  <si>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</si>
  <si>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</si>
  <si>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</si>
  <si>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</si>
  <si>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</si>
  <si>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</si>
  <si>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</si>
  <si>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</si>
  <si>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</si>
  <si>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</si>
  <si>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</si>
  <si>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</si>
  <si>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</si>
  <si>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</si>
  <si>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</si>
  <si>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</si>
  <si>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</si>
  <si>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</si>
  <si>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</si>
  <si>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</si>
  <si>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</si>
  <si>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</si>
  <si>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</si>
  <si>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</si>
  <si>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</si>
  <si>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</si>
  <si>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</si>
  <si>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</si>
  <si>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</si>
  <si>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</si>
  <si>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</si>
  <si>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</si>
  <si>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</si>
  <si>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</si>
  <si>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</si>
  <si>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</si>
  <si>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</si>
  <si>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</si>
  <si>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</si>
  <si>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</si>
  <si>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</si>
  <si>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</si>
  <si>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</si>
  <si>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</si>
  <si>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</si>
  <si>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</si>
  <si>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</si>
  <si>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</si>
  <si>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</si>
  <si>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</si>
  <si>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</si>
  <si>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</si>
  <si>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</si>
  <si>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</si>
  <si>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</si>
  <si>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</si>
  <si>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</si>
  <si>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</si>
  <si>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</si>
  <si>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</si>
  <si>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</si>
  <si>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</si>
  <si>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</si>
  <si>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</si>
  <si>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</si>
  <si>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</si>
  <si>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</si>
  <si>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</si>
  <si>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</si>
  <si>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</si>
  <si>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</si>
  <si>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</si>
  <si>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</si>
  <si>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</si>
  <si>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</si>
  <si>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</si>
  <si>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</si>
  <si>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</si>
  <si>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</si>
  <si>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</si>
  <si>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</si>
  <si>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</si>
  <si>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</si>
  <si>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</si>
  <si>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</si>
  <si>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</si>
  <si>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</si>
  <si>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</si>
  <si>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</si>
  <si>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</si>
  <si>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</si>
  <si>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</si>
  <si>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</si>
  <si>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</si>
  <si>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</si>
  <si>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</si>
  <si>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</si>
  <si>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</si>
  <si>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</si>
  <si>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</si>
  <si>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</si>
  <si>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</si>
  <si>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</si>
  <si>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</si>
  <si>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</si>
  <si>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</si>
  <si>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</si>
  <si>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</si>
  <si>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</si>
  <si>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</si>
  <si>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</si>
  <si>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</si>
  <si>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</si>
  <si>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</si>
  <si>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</si>
  <si>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</si>
  <si>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</si>
  <si>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</si>
  <si>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</si>
  <si>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</si>
  <si>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</si>
  <si>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</si>
  <si>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</si>
  <si>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</si>
  <si>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</si>
  <si>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</si>
  <si>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</si>
  <si>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</si>
  <si>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</si>
  <si>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</si>
  <si>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</si>
  <si>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</si>
  <si>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</si>
  <si>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</si>
  <si>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</si>
  <si>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</si>
  <si>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</si>
  <si>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</si>
  <si>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</si>
  <si>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</si>
  <si>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</si>
  <si>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</si>
  <si>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</si>
  <si>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</si>
  <si>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</si>
  <si>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</si>
  <si>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</si>
  <si>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</si>
  <si>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</si>
  <si>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</si>
  <si>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</si>
  <si>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</si>
  <si>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</si>
  <si>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</si>
  <si>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</si>
  <si>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</si>
  <si>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</si>
  <si>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</si>
  <si>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</si>
  <si>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</si>
  <si>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</si>
  <si>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</si>
  <si>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</si>
  <si>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</si>
  <si>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</si>
  <si>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</si>
  <si>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</si>
  <si>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</si>
  <si>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</si>
  <si>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</si>
  <si>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</si>
  <si>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</si>
  <si>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</si>
  <si>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</si>
  <si>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</si>
  <si>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</si>
  <si>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</si>
  <si>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</si>
  <si>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</si>
  <si>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</si>
  <si>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</si>
  <si>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</si>
  <si>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</si>
  <si>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</si>
  <si>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</si>
  <si>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</si>
  <si>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</si>
  <si>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</si>
  <si>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</si>
  <si>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</si>
  <si>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</si>
  <si>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</si>
  <si>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</si>
  <si>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</si>
  <si>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</si>
  <si>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</si>
  <si>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</si>
  <si>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</si>
  <si>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</si>
  <si>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</si>
  <si>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</si>
  <si>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</si>
  <si>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</si>
  <si>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</si>
  <si>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</si>
  <si>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</si>
  <si>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</si>
  <si>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</si>
  <si>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</si>
  <si>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</si>
  <si>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</si>
  <si>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</si>
  <si>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</si>
  <si>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</si>
  <si>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</si>
  <si>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</si>
  <si>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</si>
  <si>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</si>
  <si>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</si>
  <si>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</si>
  <si>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</si>
  <si>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</si>
  <si>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</si>
  <si>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</si>
  <si>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</si>
  <si>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</si>
  <si>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</si>
  <si>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</si>
  <si>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</si>
  <si>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</si>
  <si>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</si>
  <si>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</si>
  <si>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</si>
  <si>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</si>
  <si>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</si>
  <si>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</si>
  <si>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</si>
  <si>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</si>
  <si>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</si>
  <si>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</si>
  <si>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</si>
  <si>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</si>
  <si>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</si>
  <si>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</si>
  <si>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</si>
  <si>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</si>
  <si>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</si>
  <si>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</si>
  <si>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</si>
  <si>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</si>
  <si>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</si>
  <si>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</si>
  <si>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</si>
  <si>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</si>
  <si>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</si>
  <si>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</si>
  <si>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</si>
  <si>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</si>
  <si>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</si>
  <si>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</si>
  <si>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</si>
  <si>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</si>
  <si>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</si>
  <si>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</si>
  <si>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</si>
  <si>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</si>
  <si>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</si>
  <si>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</si>
  <si>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</si>
  <si>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</si>
  <si>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</si>
  <si>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</si>
  <si>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</si>
  <si>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</si>
  <si>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</si>
  <si>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</si>
  <si>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</si>
  <si>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</si>
  <si>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</si>
  <si>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</si>
  <si>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</si>
  <si>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</si>
  <si>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</si>
  <si>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</si>
  <si>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</si>
  <si>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</si>
  <si>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</si>
  <si>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</si>
  <si>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</si>
  <si>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</si>
  <si>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</si>
  <si>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</si>
  <si>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</si>
  <si>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</si>
  <si>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</si>
  <si>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</si>
  <si>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</si>
  <si>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</si>
  <si>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</si>
  <si>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</si>
  <si>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</si>
  <si>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</si>
  <si>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</si>
  <si>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</si>
  <si>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</si>
  <si>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</si>
  <si>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</si>
  <si>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</si>
  <si>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</si>
  <si>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</si>
  <si>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</si>
  <si>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</si>
  <si>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</si>
  <si>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</si>
  <si>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</si>
  <si>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</si>
  <si>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</si>
  <si>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</si>
  <si>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</si>
  <si>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</si>
  <si>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</si>
  <si>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</si>
  <si>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</si>
  <si>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</si>
  <si>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</si>
  <si>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</si>
  <si>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</si>
  <si>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</si>
  <si>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</si>
  <si>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</si>
  <si>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</si>
  <si>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</si>
  <si>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</si>
  <si>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</si>
  <si>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</si>
  <si>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</si>
  <si>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</si>
  <si>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</si>
  <si>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</si>
  <si>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</si>
  <si>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</si>
  <si>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</si>
  <si>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</si>
  <si>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</si>
  <si>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</si>
  <si>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</si>
  <si>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</si>
  <si>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</si>
  <si>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</si>
  <si>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</si>
  <si>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</si>
  <si>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</si>
  <si>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</si>
  <si>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</si>
  <si>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</si>
  <si>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</si>
  <si>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</si>
  <si>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</si>
  <si>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</si>
  <si>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</si>
  <si>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</si>
  <si>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</si>
  <si>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</si>
  <si>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</si>
  <si>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</si>
  <si>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</si>
  <si>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</si>
  <si>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</si>
  <si>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</si>
  <si>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</si>
  <si>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</si>
  <si>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</si>
  <si>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</si>
  <si>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</si>
  <si>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</si>
  <si>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</si>
  <si>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</si>
  <si>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</si>
  <si>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</si>
  <si>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</si>
  <si>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</si>
  <si>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</si>
  <si>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</si>
  <si>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</si>
  <si>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</si>
  <si>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</si>
  <si>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</si>
  <si>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</si>
  <si>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</si>
  <si>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</si>
  <si>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</si>
  <si>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</si>
  <si>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</si>
  <si>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</si>
  <si>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</si>
  <si>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</si>
  <si>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</si>
  <si>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</si>
  <si>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</si>
  <si>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</si>
  <si>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</si>
  <si>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</si>
  <si>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</si>
  <si>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</si>
  <si>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</si>
  <si>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</si>
  <si>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</si>
  <si>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</si>
  <si>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</si>
  <si>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</si>
  <si>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</si>
  <si>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</si>
  <si>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</si>
  <si>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</si>
  <si>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</si>
  <si>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</si>
  <si>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</si>
  <si>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</si>
  <si>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</si>
  <si>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</si>
  <si>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</si>
  <si>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</si>
  <si>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</si>
  <si>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</si>
  <si>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</si>
  <si>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</si>
  <si>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</si>
  <si>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</si>
  <si>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</si>
  <si>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</si>
  <si>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</si>
  <si>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</si>
  <si>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</si>
  <si>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</si>
  <si>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</si>
  <si>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</si>
  <si>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</si>
  <si>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</si>
  <si>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</si>
  <si>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</si>
  <si>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</si>
  <si>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</si>
  <si>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</si>
  <si>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</si>
  <si>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</si>
  <si>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</si>
  <si>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</si>
  <si>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</si>
  <si>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</si>
  <si>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</si>
  <si>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</si>
  <si>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</si>
  <si>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</si>
  <si>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</si>
  <si>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</si>
  <si>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</si>
  <si>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</si>
  <si>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</si>
  <si>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</si>
  <si>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</si>
  <si>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</si>
  <si>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</si>
  <si>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</si>
  <si>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</si>
  <si>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</si>
  <si>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</si>
  <si>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</si>
  <si>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</si>
  <si>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</si>
  <si>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</si>
  <si>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</si>
  <si>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</si>
  <si>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</si>
  <si>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</si>
  <si>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</si>
  <si>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</si>
  <si>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</si>
  <si>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</si>
  <si>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</si>
  <si>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</si>
  <si>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</si>
  <si>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</si>
  <si>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</si>
  <si>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</si>
  <si>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</si>
  <si>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</si>
  <si>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</si>
  <si>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</si>
  <si>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</si>
  <si>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</si>
  <si>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</si>
  <si>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</si>
  <si>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</si>
  <si>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</si>
  <si>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</si>
  <si>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</si>
  <si>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</si>
  <si>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</si>
  <si>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</si>
  <si>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</si>
  <si>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</si>
  <si>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</si>
  <si>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</si>
  <si>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</si>
  <si>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</si>
  <si>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</si>
  <si>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</si>
  <si>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</si>
  <si>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</si>
  <si>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</si>
  <si>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</si>
  <si>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</si>
  <si>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</si>
  <si>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</si>
  <si>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</si>
  <si>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</si>
  <si>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</si>
  <si>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</si>
  <si>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</si>
  <si>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</si>
  <si>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</si>
  <si>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</si>
  <si>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</si>
  <si>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</si>
  <si>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</si>
  <si>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</si>
  <si>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</si>
  <si>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</si>
  <si>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</si>
  <si>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</si>
  <si>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</si>
  <si>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</si>
  <si>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</si>
  <si>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</si>
  <si>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</si>
  <si>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</si>
  <si>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</si>
  <si>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</si>
  <si>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</si>
  <si>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</si>
  <si>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</si>
  <si>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</si>
  <si>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</si>
  <si>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</si>
  <si>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</si>
  <si>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</si>
  <si>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</si>
  <si>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</si>
  <si>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</si>
  <si>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</si>
  <si>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</si>
  <si>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</si>
  <si>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</si>
  <si>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</si>
  <si>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</si>
  <si>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</si>
  <si>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</si>
  <si>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</si>
  <si>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</si>
  <si>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</si>
  <si>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</si>
  <si>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</si>
  <si>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</si>
  <si>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</si>
  <si>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</si>
  <si>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</si>
  <si>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</si>
  <si>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</si>
  <si>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</si>
  <si>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</si>
  <si>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</si>
  <si>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</si>
  <si>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</si>
  <si>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</si>
  <si>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</si>
  <si>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</si>
  <si>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</si>
  <si>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</si>
  <si>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</si>
  <si>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</si>
  <si>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</si>
  <si>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</si>
  <si>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</si>
  <si>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</si>
  <si>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</si>
  <si>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</si>
  <si>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</si>
  <si>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</si>
  <si>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</si>
  <si>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</si>
  <si>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</si>
  <si>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</si>
  <si>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</si>
  <si>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</si>
  <si>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</si>
  <si>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</si>
  <si>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</si>
  <si>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</si>
  <si>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</si>
  <si>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</si>
  <si>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</si>
  <si>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</si>
  <si>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</si>
  <si>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</si>
  <si>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</si>
  <si>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</si>
  <si>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</si>
  <si>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</si>
  <si>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</si>
  <si>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</si>
  <si>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</si>
  <si>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</si>
  <si>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</si>
  <si>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</si>
  <si>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</si>
  <si>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</si>
  <si>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</si>
  <si>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</si>
  <si>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</si>
  <si>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</si>
  <si>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</si>
  <si>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</si>
  <si>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</si>
  <si>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</si>
  <si>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</si>
  <si>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</si>
  <si>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</si>
  <si>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</si>
  <si>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</si>
  <si>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</si>
  <si>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</si>
  <si>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</si>
  <si>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</si>
  <si>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</si>
  <si>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</si>
  <si>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</si>
  <si>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</si>
  <si>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</si>
  <si>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</si>
  <si>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</si>
  <si>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</si>
  <si>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</si>
  <si>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</si>
  <si>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</si>
  <si>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</si>
  <si>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</si>
  <si>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</si>
  <si>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</si>
  <si>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</si>
  <si>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</si>
  <si>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</si>
  <si>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</si>
  <si>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</si>
  <si>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</si>
  <si>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</si>
  <si>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</si>
  <si>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</si>
  <si>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</si>
  <si>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</si>
  <si>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</si>
  <si>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</si>
  <si>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</si>
  <si>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</si>
  <si>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</si>
  <si>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</si>
  <si>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</si>
  <si>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</si>
  <si>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</si>
  <si>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</si>
  <si>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</si>
  <si>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</si>
  <si>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</si>
  <si>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</si>
  <si>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</si>
  <si>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</si>
  <si>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</si>
  <si>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</si>
  <si>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</si>
  <si>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</si>
  <si>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</si>
  <si>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</si>
  <si>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</si>
  <si>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</si>
  <si>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</si>
  <si>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</si>
  <si>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</si>
  <si>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</si>
  <si>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</si>
  <si>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</si>
  <si>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</si>
  <si>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</si>
  <si>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</si>
  <si>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</si>
  <si>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</si>
  <si>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</si>
  <si>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</si>
  <si>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</si>
  <si>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</si>
  <si>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</si>
  <si>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</si>
  <si>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</si>
  <si>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</si>
  <si>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</si>
  <si>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</si>
  <si>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</si>
  <si>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</si>
  <si>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</si>
  <si>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</si>
  <si>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</si>
  <si>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</si>
  <si>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</si>
  <si>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</si>
  <si>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</si>
  <si>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</si>
  <si>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</si>
  <si>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</si>
  <si>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</si>
  <si>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</si>
  <si>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</si>
  <si>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</si>
  <si>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</si>
  <si>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</si>
  <si>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</si>
  <si>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</si>
  <si>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</si>
  <si>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</si>
  <si>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</si>
  <si>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</si>
  <si>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</si>
  <si>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</si>
  <si>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</si>
  <si>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</si>
  <si>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</si>
  <si>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</si>
  <si>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</si>
  <si>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</si>
  <si>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</si>
  <si>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</si>
  <si>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</si>
  <si>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</si>
  <si>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</si>
  <si>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</si>
  <si>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</si>
  <si>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</si>
  <si>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</si>
  <si>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</si>
  <si>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</si>
  <si>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</si>
  <si>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</si>
  <si>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</si>
  <si>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</si>
  <si>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</si>
  <si>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</si>
  <si>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</si>
  <si>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</si>
  <si>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</si>
  <si>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</si>
  <si>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</si>
  <si>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</si>
  <si>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</si>
  <si>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</si>
  <si>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</si>
  <si>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</si>
  <si>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</si>
  <si>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</si>
  <si>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</si>
  <si>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</si>
  <si>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</si>
  <si>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</si>
  <si>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</si>
  <si>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</si>
  <si>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</si>
  <si>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</si>
  <si>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</si>
  <si>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</si>
  <si>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</si>
  <si>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</si>
  <si>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</si>
  <si>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</si>
  <si>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</si>
  <si>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</si>
  <si>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</si>
  <si>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</si>
  <si>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</si>
  <si>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</si>
  <si>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</si>
  <si>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</si>
  <si>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</si>
  <si>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</si>
  <si>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</si>
  <si>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</si>
  <si>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</si>
  <si>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</si>
  <si>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</si>
  <si>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</si>
  <si>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</si>
  <si>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</si>
  <si>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</si>
  <si>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</si>
  <si>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</si>
  <si>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</si>
  <si>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</si>
  <si>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</si>
  <si>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</si>
  <si>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</si>
  <si>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</si>
  <si>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</si>
  <si>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</si>
  <si>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</si>
  <si>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</si>
  <si>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</si>
  <si>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</si>
  <si>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</si>
  <si>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</si>
  <si>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</si>
  <si>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</si>
  <si>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</si>
  <si>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</si>
  <si>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</si>
  <si>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</si>
  <si>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</si>
  <si>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</si>
  <si>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</si>
  <si>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</si>
  <si>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</si>
  <si>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</si>
  <si>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</si>
  <si>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</si>
  <si>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</si>
  <si>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</si>
  <si>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</si>
  <si>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</si>
  <si>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</si>
  <si>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</si>
  <si>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</si>
  <si>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</si>
  <si>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</si>
  <si>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</si>
  <si>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</si>
  <si>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</si>
  <si>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</si>
  <si>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</si>
  <si>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</si>
  <si>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</si>
  <si>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</si>
  <si>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</si>
  <si>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</si>
  <si>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</si>
  <si>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</si>
  <si>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</si>
  <si>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</si>
  <si>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</si>
  <si>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</si>
  <si>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</si>
  <si>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</si>
  <si>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</si>
  <si>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</si>
  <si>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</si>
  <si>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</si>
  <si>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</si>
  <si>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</si>
  <si>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</si>
  <si>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</si>
  <si>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</si>
  <si>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</si>
  <si>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</si>
  <si>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</si>
  <si>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</si>
  <si>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</si>
  <si>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</si>
  <si>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</si>
  <si>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</si>
  <si>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</si>
  <si>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</si>
  <si>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</si>
  <si>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</si>
  <si>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</si>
  <si>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</si>
  <si>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</si>
  <si>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</si>
  <si>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</si>
  <si>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</si>
  <si>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</si>
  <si>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</si>
  <si>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</si>
  <si>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</si>
  <si>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</si>
  <si>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</si>
  <si>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</si>
  <si>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</si>
  <si>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</si>
  <si>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</si>
  <si>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</si>
  <si>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</si>
  <si>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</si>
  <si>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</si>
  <si>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</si>
  <si>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</si>
  <si>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</si>
  <si>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</si>
  <si>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</si>
  <si>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</si>
  <si>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</si>
  <si>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</si>
  <si>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</si>
  <si>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</si>
  <si>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</si>
  <si>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</si>
  <si>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</si>
  <si>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</si>
  <si>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</si>
  <si>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</si>
  <si>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</si>
  <si>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</si>
  <si>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</si>
  <si>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</si>
  <si>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</si>
  <si>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</si>
  <si>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</si>
  <si>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</si>
  <si>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</si>
  <si>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</si>
  <si>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</si>
  <si>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</si>
  <si>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</si>
  <si>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</si>
  <si>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</si>
  <si>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</si>
  <si>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</si>
  <si>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</si>
  <si>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</si>
  <si>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</si>
  <si>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</si>
  <si>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</si>
  <si>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</si>
  <si>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</si>
  <si>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</si>
  <si>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</si>
  <si>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</si>
  <si>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</si>
  <si>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</si>
  <si>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</si>
  <si>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</si>
  <si>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</si>
  <si>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</si>
  <si>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</si>
  <si>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</si>
  <si>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</si>
  <si>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</si>
  <si>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</si>
  <si>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</si>
  <si>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</si>
  <si>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</si>
  <si>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</si>
  <si>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</si>
  <si>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</si>
  <si>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</si>
  <si>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</si>
  <si>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</si>
  <si>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</si>
  <si>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</si>
  <si>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</si>
  <si>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</si>
  <si>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</si>
  <si>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</si>
  <si>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</si>
  <si>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</si>
  <si>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</si>
  <si>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</si>
  <si>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</si>
  <si>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</si>
  <si>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</si>
  <si>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</si>
  <si>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</si>
  <si>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</si>
  <si>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</si>
  <si>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</si>
  <si>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</si>
  <si>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</si>
  <si>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</si>
  <si>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</si>
  <si>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</si>
  <si>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</si>
  <si>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</si>
  <si>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</si>
  <si>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</si>
  <si>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</si>
  <si>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</si>
  <si>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</si>
  <si>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</si>
  <si>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</si>
  <si>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</si>
  <si>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</si>
  <si>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</si>
  <si>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</si>
  <si>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</si>
  <si>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</si>
  <si>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</si>
  <si>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</si>
  <si>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</si>
  <si>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</si>
  <si>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</si>
  <si>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</si>
  <si>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</si>
  <si>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</si>
  <si>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</si>
  <si>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</si>
  <si>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</si>
  <si>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</si>
  <si>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</si>
  <si>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</si>
  <si>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</si>
  <si>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</si>
  <si>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</si>
  <si>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</si>
  <si>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</si>
  <si>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</si>
  <si>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</si>
  <si>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</si>
  <si>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</si>
  <si>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</si>
  <si>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</si>
  <si>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</si>
  <si>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</si>
  <si>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</si>
  <si>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</si>
  <si>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</si>
  <si>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</si>
  <si>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</si>
  <si>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</si>
  <si>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</si>
  <si>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</si>
  <si>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</si>
  <si>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</si>
  <si>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</si>
  <si>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</si>
  <si>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</si>
  <si>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</si>
  <si>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</si>
  <si>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</si>
  <si>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</si>
  <si>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</si>
  <si>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</si>
  <si>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</si>
  <si>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</si>
  <si>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</si>
  <si>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</si>
  <si>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</si>
  <si>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</si>
  <si>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</si>
  <si>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</si>
  <si>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</si>
  <si>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</si>
  <si>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</si>
  <si>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</si>
  <si>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</si>
  <si>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</si>
  <si>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</si>
  <si>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</si>
  <si>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</si>
  <si>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</si>
  <si>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</si>
  <si>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</si>
  <si>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</si>
  <si>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</si>
  <si>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</si>
  <si>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</si>
  <si>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</si>
  <si>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</si>
  <si>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</si>
  <si>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</si>
  <si>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</si>
  <si>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</si>
  <si>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</si>
  <si>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</si>
  <si>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</si>
  <si>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</si>
  <si>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</si>
  <si>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</si>
  <si>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</si>
  <si>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</si>
  <si>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</si>
  <si>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</si>
  <si>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</si>
  <si>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</si>
  <si>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</si>
  <si>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</si>
  <si>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</si>
  <si>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</si>
  <si>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</si>
  <si>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</si>
  <si>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</si>
  <si>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</si>
  <si>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</si>
  <si>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</si>
  <si>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</si>
  <si>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</si>
  <si>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</si>
  <si>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</si>
  <si>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</si>
  <si>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</si>
  <si>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</si>
  <si>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</si>
  <si>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</si>
  <si>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</si>
  <si>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</si>
  <si>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</si>
  <si>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</si>
  <si>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</si>
  <si>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</si>
  <si>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</si>
  <si>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</si>
  <si>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</si>
  <si>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</si>
  <si>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</si>
  <si>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</si>
  <si>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</si>
  <si>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</si>
  <si>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</si>
  <si>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</si>
  <si>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</si>
  <si>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</si>
  <si>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</si>
  <si>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</si>
  <si>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</si>
  <si>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</si>
  <si>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</si>
  <si>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</si>
  <si>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</si>
  <si>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</si>
  <si>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</si>
  <si>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</si>
  <si>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</si>
  <si>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</si>
  <si>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</si>
  <si>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</si>
  <si>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</si>
  <si>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</si>
  <si>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</si>
  <si>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</si>
  <si>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</si>
  <si>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</si>
  <si>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</si>
  <si>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</si>
  <si>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</si>
  <si>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</si>
  <si>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</si>
  <si>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</si>
  <si>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</si>
  <si>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</si>
  <si>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</si>
  <si>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</si>
  <si>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</si>
  <si>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</si>
  <si>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</si>
  <si>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</si>
  <si>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</si>
  <si>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</si>
  <si>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</si>
  <si>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</si>
  <si>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</si>
  <si>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</si>
  <si>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</si>
  <si>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</si>
  <si>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</si>
  <si>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</si>
  <si>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</si>
  <si>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</si>
  <si>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</si>
  <si>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</si>
  <si>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</si>
  <si>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</si>
  <si>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</si>
  <si>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</si>
  <si>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</si>
  <si>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</si>
  <si>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</si>
  <si>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</si>
  <si>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</si>
  <si>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</si>
  <si>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</si>
  <si>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</si>
  <si>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</si>
  <si>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</si>
  <si>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</si>
  <si>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</si>
  <si>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</si>
  <si>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</si>
  <si>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</si>
  <si>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</si>
  <si>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</si>
  <si>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</si>
  <si>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</si>
  <si>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</si>
  <si>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</si>
  <si>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</si>
  <si>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</si>
  <si>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</si>
  <si>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</si>
  <si>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</si>
  <si>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</si>
  <si>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</si>
  <si>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</si>
  <si>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</si>
  <si>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</si>
  <si>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</si>
  <si>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</si>
  <si>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</si>
  <si>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</si>
  <si>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</si>
  <si>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</si>
  <si>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</si>
  <si>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</si>
  <si>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</si>
  <si>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</si>
  <si>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</si>
  <si>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</si>
  <si>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</si>
  <si>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</si>
  <si>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</si>
  <si>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</si>
  <si>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</si>
  <si>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</si>
  <si>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</si>
  <si>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</si>
  <si>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</si>
  <si>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</si>
  <si>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</si>
  <si>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</si>
  <si>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</si>
  <si>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</si>
  <si>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</si>
  <si>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</si>
  <si>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</si>
  <si>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</si>
  <si>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</si>
  <si>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</si>
  <si>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</si>
  <si>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</si>
  <si>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</si>
  <si>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</si>
  <si>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</si>
  <si>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</si>
  <si>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</si>
  <si>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</si>
  <si>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</si>
  <si>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</si>
  <si>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</si>
  <si>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</si>
  <si>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</si>
  <si>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</si>
  <si>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</si>
  <si>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</si>
  <si>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</si>
  <si>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</si>
  <si>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</si>
  <si>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</si>
  <si>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</si>
  <si>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</si>
  <si>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</si>
  <si>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</si>
  <si>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</si>
  <si>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</si>
  <si>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</si>
  <si>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</si>
  <si>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</si>
  <si>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</si>
  <si>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</si>
  <si>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</si>
  <si>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</si>
  <si>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</si>
  <si>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</si>
  <si>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</si>
  <si>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</si>
  <si>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</si>
  <si>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</si>
  <si>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</si>
  <si>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</si>
  <si>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</si>
  <si>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</si>
  <si>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</si>
  <si>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</si>
  <si>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</si>
  <si>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</si>
  <si>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</si>
  <si>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</si>
  <si>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</si>
  <si>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</si>
  <si>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</si>
  <si>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</si>
  <si>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</si>
  <si>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</si>
  <si>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</si>
  <si>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</si>
  <si>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</si>
  <si>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</si>
  <si>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</si>
  <si>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</si>
  <si>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</si>
  <si>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</si>
  <si>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</si>
  <si>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</si>
  <si>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</si>
  <si>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</si>
  <si>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</si>
  <si>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</si>
  <si>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</si>
  <si>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</si>
  <si>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</si>
  <si>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</si>
  <si>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</si>
  <si>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</si>
  <si>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</si>
  <si>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</si>
  <si>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</si>
  <si>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</si>
  <si>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</si>
  <si>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</si>
  <si>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</si>
  <si>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</si>
  <si>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</si>
  <si>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</si>
  <si>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</si>
  <si>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</si>
  <si>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</si>
  <si>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</si>
  <si>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</si>
  <si>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</si>
  <si>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</si>
  <si>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</si>
  <si>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</si>
  <si>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</si>
  <si>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</si>
  <si>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</si>
  <si>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</si>
  <si>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</si>
  <si>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</si>
  <si>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</si>
  <si>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</si>
  <si>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</si>
  <si>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</si>
  <si>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</si>
  <si>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</si>
  <si>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</si>
  <si>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</si>
  <si>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</si>
  <si>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</si>
  <si>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</si>
  <si>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</si>
  <si>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</si>
  <si>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</si>
  <si>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</si>
  <si>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</si>
  <si>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</si>
  <si>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</si>
  <si>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</si>
  <si>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</si>
  <si>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</si>
  <si>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</si>
  <si>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</si>
  <si>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</si>
  <si>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</si>
  <si>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</si>
  <si>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</si>
  <si>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</si>
  <si>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</si>
  <si>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</si>
  <si>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</si>
  <si>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</si>
  <si>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</si>
  <si>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</si>
  <si>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</si>
  <si>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</si>
  <si>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</si>
  <si>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</si>
  <si>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</si>
  <si>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</si>
  <si>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</si>
  <si>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</si>
  <si>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</si>
  <si>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</si>
  <si>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</si>
  <si>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</si>
  <si>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</si>
  <si>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</si>
  <si>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</si>
  <si>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</si>
  <si>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</si>
  <si>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</si>
  <si>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</si>
  <si>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</si>
  <si>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</si>
  <si>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</si>
  <si>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</si>
  <si>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</si>
  <si>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</si>
  <si>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</si>
  <si>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</si>
  <si>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</si>
  <si>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</si>
  <si>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</si>
  <si>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</si>
  <si>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</si>
  <si>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</si>
  <si>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</si>
  <si>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</si>
  <si>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</si>
  <si>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</si>
  <si>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</si>
  <si>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</si>
  <si>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</si>
  <si>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</si>
  <si>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</si>
  <si>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</si>
  <si>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</si>
  <si>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</si>
  <si>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</si>
  <si>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</si>
  <si>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</si>
  <si>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</si>
  <si>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</si>
  <si>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</si>
  <si>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</si>
  <si>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</si>
  <si>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</si>
  <si>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</si>
  <si>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</si>
  <si>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</si>
  <si>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</si>
  <si>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</si>
  <si>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</si>
  <si>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</si>
  <si>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</si>
  <si>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</si>
  <si>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</si>
  <si>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</si>
  <si>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</si>
  <si>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</si>
  <si>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</si>
  <si>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</si>
  <si>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</si>
  <si>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</si>
  <si>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</si>
  <si>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</si>
  <si>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</si>
  <si>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</si>
  <si>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</si>
  <si>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</si>
  <si>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</si>
  <si>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</si>
  <si>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</si>
  <si>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</si>
  <si>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</si>
  <si>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</si>
  <si>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</si>
  <si>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</si>
  <si>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</si>
  <si>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</si>
  <si>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</si>
  <si>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</si>
  <si>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</si>
  <si>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</si>
  <si>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</si>
  <si>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</si>
  <si>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</si>
  <si>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</si>
  <si>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</si>
  <si>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</si>
  <si>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</si>
  <si>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</si>
  <si>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</si>
  <si>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</si>
  <si>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</si>
  <si>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</si>
  <si>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</si>
  <si>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</si>
  <si>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</si>
  <si>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</si>
  <si>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</si>
  <si>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</si>
  <si>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</si>
  <si>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</si>
  <si>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</si>
  <si>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</si>
  <si>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</si>
  <si>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</si>
  <si>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</si>
  <si>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</si>
  <si>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</si>
  <si>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</si>
  <si>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</si>
  <si>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</si>
  <si>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</si>
  <si>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</si>
  <si>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</si>
  <si>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</si>
  <si>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</si>
  <si>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</si>
  <si>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</si>
  <si>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</si>
  <si>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</si>
  <si>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</si>
  <si>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</si>
  <si>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</si>
  <si>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</si>
  <si>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</si>
  <si>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</si>
  <si>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</si>
  <si>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</si>
  <si>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</si>
  <si>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</si>
  <si>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</si>
  <si>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</si>
  <si>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</si>
  <si>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</si>
  <si>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</si>
  <si>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</si>
  <si>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</si>
  <si>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</si>
  <si>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</si>
  <si>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</si>
  <si>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</si>
  <si>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</si>
  <si>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</si>
  <si>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</si>
  <si>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</si>
  <si>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</si>
  <si>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</si>
  <si>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</si>
  <si>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</si>
  <si>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</si>
  <si>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</si>
  <si>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</si>
  <si>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</si>
  <si>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</si>
  <si>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</si>
  <si>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</si>
  <si>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</si>
  <si>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</si>
  <si>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</si>
  <si>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</si>
  <si>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</si>
  <si>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</si>
  <si>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</si>
  <si>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</si>
  <si>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</si>
  <si>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</si>
  <si>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</si>
  <si>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</si>
  <si>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</si>
  <si>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</si>
  <si>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</si>
  <si>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</si>
  <si>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</si>
  <si>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</si>
  <si>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</si>
  <si>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</si>
  <si>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</si>
  <si>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</si>
  <si>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</si>
  <si>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</si>
  <si>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</si>
  <si>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</si>
  <si>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</si>
  <si>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</si>
  <si>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</si>
  <si>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</si>
  <si>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</si>
  <si>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</si>
  <si>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</si>
  <si>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</si>
  <si>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</si>
  <si>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</si>
  <si>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</si>
  <si>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</si>
  <si>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</si>
  <si>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</si>
  <si>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</si>
  <si>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</si>
  <si>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</si>
  <si>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</si>
  <si>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</si>
  <si>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</si>
  <si>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</si>
  <si>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</si>
  <si>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</si>
  <si>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</si>
  <si>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</si>
  <si>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</si>
  <si>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</si>
  <si>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</si>
  <si>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</si>
  <si>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</si>
  <si>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</si>
  <si>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</si>
  <si>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</si>
  <si>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</si>
  <si>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</si>
  <si>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</si>
  <si>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</si>
  <si>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</si>
  <si>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</si>
  <si>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</si>
  <si>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</si>
  <si>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</si>
  <si>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</si>
  <si>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</si>
  <si>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</si>
  <si>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</si>
  <si>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</si>
  <si>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</si>
  <si>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</si>
  <si>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</si>
  <si>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</si>
  <si>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</si>
  <si>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</si>
  <si>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</si>
  <si>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</si>
  <si>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</si>
  <si>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</si>
  <si>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</si>
  <si>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</si>
  <si>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</si>
  <si>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</si>
  <si>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</si>
  <si>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</si>
  <si>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</si>
  <si>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</si>
  <si>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</si>
  <si>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</si>
  <si>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</si>
  <si>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</si>
  <si>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</si>
  <si>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</si>
  <si>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</si>
  <si>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</si>
  <si>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</si>
  <si>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</si>
  <si>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</si>
  <si>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</si>
  <si>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</si>
  <si>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</si>
  <si>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</si>
  <si>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</si>
  <si>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</si>
  <si>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</si>
  <si>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</si>
  <si>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</si>
  <si>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</si>
  <si>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</si>
  <si>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</si>
  <si>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</si>
  <si>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</si>
  <si>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</si>
  <si>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</si>
  <si>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</si>
  <si>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</si>
  <si>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</si>
  <si>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</si>
  <si>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</si>
  <si>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</si>
  <si>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</si>
  <si>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</si>
  <si>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</si>
  <si>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</si>
  <si>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</si>
  <si>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</si>
  <si>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</si>
  <si>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</si>
  <si>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</si>
  <si>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</si>
  <si>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</si>
  <si>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</si>
  <si>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</si>
  <si>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</si>
  <si>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</si>
  <si>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</si>
  <si>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</si>
  <si>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</si>
  <si>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</si>
  <si>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</si>
  <si>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</si>
  <si>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</si>
  <si>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</si>
  <si>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</si>
  <si>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</si>
  <si>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</si>
  <si>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</si>
  <si>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</si>
  <si>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</si>
  <si>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</si>
  <si>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</si>
  <si>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</si>
  <si>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</si>
  <si>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</si>
  <si>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</si>
  <si>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</si>
  <si>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</si>
  <si>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</si>
  <si>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</si>
  <si>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</si>
  <si>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</si>
  <si>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</si>
  <si>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</si>
  <si>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</si>
  <si>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</si>
  <si>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</si>
  <si>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</si>
  <si>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</si>
  <si>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</si>
  <si>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</si>
  <si>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</si>
  <si>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</si>
  <si>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</si>
  <si>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</si>
  <si>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</si>
  <si>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</si>
  <si>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</si>
  <si>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</si>
  <si>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</si>
  <si>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</si>
  <si>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</si>
  <si>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</si>
  <si>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</si>
  <si>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</si>
  <si>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</si>
  <si>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</si>
  <si>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</si>
  <si>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</si>
  <si>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</si>
  <si>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</si>
  <si>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</si>
  <si>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</si>
  <si>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</si>
  <si>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</si>
  <si>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</si>
  <si>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</si>
  <si>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</si>
  <si>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</si>
  <si>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</si>
  <si>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</si>
  <si>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</si>
  <si>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</si>
  <si>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</si>
  <si>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</si>
  <si>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</si>
  <si>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</si>
  <si>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</si>
  <si>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</si>
  <si>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</si>
  <si>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</si>
  <si>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</si>
  <si>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</si>
  <si>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</si>
  <si>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</si>
  <si>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</si>
  <si>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</si>
  <si>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</si>
  <si>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</si>
  <si>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</si>
  <si>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</si>
  <si>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</si>
  <si>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</si>
  <si>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</si>
  <si>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</si>
  <si>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</si>
  <si>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</si>
  <si>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</si>
  <si>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</si>
  <si>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</si>
  <si>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</si>
  <si>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</si>
  <si>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</si>
  <si>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</si>
  <si>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</si>
  <si>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</si>
  <si>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</si>
  <si>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</si>
  <si>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</si>
  <si>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</si>
  <si>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</si>
  <si>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</si>
  <si>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</si>
  <si>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</si>
  <si>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</si>
  <si>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</si>
  <si>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</si>
  <si>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</si>
  <si>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</si>
  <si>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</si>
  <si>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</si>
  <si>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</si>
  <si>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</si>
  <si>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</si>
  <si>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</si>
  <si>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</si>
  <si>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</si>
  <si>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</si>
  <si>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</si>
  <si>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</si>
  <si>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</si>
  <si>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</si>
  <si>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</si>
  <si>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</si>
  <si>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</si>
  <si>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</si>
  <si>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</si>
  <si>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</si>
  <si>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</si>
  <si>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</si>
  <si>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</si>
  <si>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</si>
  <si>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</si>
  <si>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</si>
  <si>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</si>
  <si>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</si>
  <si>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</si>
  <si>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</si>
  <si>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</si>
  <si>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</si>
  <si>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</si>
  <si>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</si>
  <si>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</si>
  <si>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</si>
  <si>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</si>
  <si>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</si>
  <si>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</si>
  <si>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</si>
  <si>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</si>
  <si>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</si>
  <si>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</si>
  <si>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</si>
  <si>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</si>
  <si>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</si>
  <si>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</si>
  <si>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</si>
  <si>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</si>
  <si>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</si>
  <si>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</si>
  <si>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</si>
  <si>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</si>
  <si>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</si>
  <si>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</si>
  <si>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</si>
  <si>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</si>
  <si>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</si>
  <si>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</si>
  <si>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</si>
  <si>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</si>
  <si>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</si>
  <si>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</si>
  <si>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</si>
  <si>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</si>
  <si>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</si>
  <si>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</si>
  <si>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</si>
  <si>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</si>
  <si>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</si>
  <si>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</si>
  <si>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</si>
  <si>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</si>
  <si>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</si>
  <si>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</si>
  <si>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</si>
  <si>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</si>
  <si>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</si>
  <si>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</si>
  <si>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</si>
  <si>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</si>
  <si>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</si>
  <si>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</si>
  <si>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</si>
  <si>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</si>
  <si>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</si>
  <si>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</si>
  <si>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</si>
  <si>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</si>
  <si>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</si>
  <si>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</si>
  <si>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</si>
  <si>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</si>
  <si>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</si>
  <si>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</si>
  <si>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</si>
  <si>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</si>
  <si>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</si>
  <si>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</si>
  <si>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</si>
  <si>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</si>
  <si>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</si>
  <si>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</si>
  <si>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</si>
  <si>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</si>
  <si>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</si>
  <si>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</si>
  <si>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</si>
  <si>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</si>
  <si>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</si>
  <si>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</si>
  <si>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</si>
  <si>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</si>
  <si>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</si>
  <si>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</si>
  <si>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</si>
  <si>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</si>
  <si>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</si>
  <si>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</si>
  <si>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</si>
  <si>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</si>
  <si>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</si>
  <si>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</si>
  <si>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</si>
  <si>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</si>
  <si>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</si>
  <si>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</si>
  <si>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</si>
  <si>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</si>
  <si>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</si>
  <si>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</si>
  <si>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</si>
  <si>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</si>
  <si>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</si>
  <si>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</si>
  <si>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</si>
  <si>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</si>
  <si>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</si>
  <si>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</si>
  <si>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</si>
  <si>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</si>
  <si>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</si>
  <si>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</si>
  <si>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</si>
  <si>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</si>
  <si>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</si>
  <si>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</si>
  <si>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</si>
  <si>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</si>
  <si>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</si>
  <si>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</si>
  <si>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</si>
  <si>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</si>
  <si>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</si>
  <si>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</si>
  <si>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</si>
  <si>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</si>
  <si>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</si>
  <si>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</si>
  <si>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</si>
  <si>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</si>
  <si>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</si>
  <si>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</si>
  <si>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</si>
  <si>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</si>
  <si>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</si>
  <si>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</si>
  <si>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</si>
  <si>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</si>
  <si>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</si>
  <si>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</si>
  <si>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</si>
  <si>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</si>
  <si>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</si>
  <si>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</si>
  <si>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</si>
  <si>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</si>
  <si>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</si>
  <si>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</si>
  <si>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</si>
  <si>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</si>
  <si>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</si>
  <si>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</si>
  <si>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</si>
  <si>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</si>
  <si>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</si>
  <si>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</si>
  <si>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</si>
  <si>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</si>
  <si>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</si>
  <si>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</si>
  <si>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</si>
  <si>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</si>
  <si>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</si>
  <si>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</si>
  <si>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</si>
  <si>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</si>
  <si>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</si>
  <si>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</si>
  <si>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</si>
  <si>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</si>
  <si>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</si>
  <si>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</si>
  <si>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</si>
  <si>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</si>
  <si>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</si>
  <si>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</si>
  <si>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</si>
  <si>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</si>
  <si>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</si>
  <si>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</si>
  <si>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</si>
  <si>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</si>
  <si>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</si>
  <si>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</si>
  <si>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</si>
  <si>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</si>
  <si>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</si>
  <si>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</si>
  <si>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</si>
  <si>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</si>
  <si>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</si>
  <si>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</si>
  <si>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</si>
  <si>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</si>
  <si>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</si>
  <si>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</si>
  <si>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</si>
  <si>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</si>
  <si>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</si>
  <si>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</si>
  <si>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</si>
  <si>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</si>
  <si>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</si>
  <si>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</si>
  <si>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</si>
  <si>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</si>
  <si>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</si>
  <si>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</si>
  <si>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</si>
  <si>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</si>
  <si>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</si>
  <si>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</si>
  <si>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</si>
  <si>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</si>
  <si>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</si>
  <si>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</si>
  <si>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</si>
  <si>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</si>
  <si>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</si>
  <si>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</si>
  <si>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</si>
  <si>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</si>
  <si>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</si>
  <si>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</si>
  <si>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</si>
  <si>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</si>
  <si>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</si>
  <si>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</si>
  <si>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</si>
  <si>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</si>
  <si>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</si>
  <si>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</si>
  <si>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</si>
  <si>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</si>
  <si>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</si>
  <si>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</si>
  <si>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</si>
  <si>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</si>
  <si>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</si>
  <si>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</si>
  <si>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</si>
  <si>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</si>
  <si>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</si>
  <si>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</si>
  <si>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</si>
  <si>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</si>
  <si>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</si>
  <si>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</si>
  <si>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</si>
  <si>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</si>
  <si>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</si>
  <si>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</si>
  <si>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</si>
  <si>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</si>
  <si>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</si>
  <si>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</si>
  <si>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</si>
  <si>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</si>
  <si>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</si>
  <si>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</si>
  <si>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</si>
  <si>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</si>
  <si>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</si>
  <si>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</si>
  <si>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</si>
  <si>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</si>
  <si>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</si>
  <si>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</si>
  <si>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</si>
  <si>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</si>
  <si>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</si>
  <si>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</si>
  <si>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</si>
  <si>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</si>
  <si>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</si>
  <si>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</si>
  <si>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</si>
  <si>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</si>
  <si>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</si>
  <si>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</si>
  <si>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</si>
  <si>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</si>
  <si>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</si>
  <si>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</si>
  <si>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</si>
  <si>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</si>
  <si>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</si>
  <si>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</si>
  <si>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</si>
  <si>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</si>
  <si>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</si>
  <si>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</si>
  <si>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</si>
  <si>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</si>
  <si>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</si>
  <si>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</si>
  <si>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</si>
  <si>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</si>
  <si>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</si>
  <si>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</si>
  <si>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</si>
  <si>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</si>
  <si>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</si>
  <si>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</si>
  <si>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</si>
  <si>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</si>
  <si>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</si>
  <si>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</si>
  <si>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</si>
  <si>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</si>
  <si>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</si>
  <si>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</si>
  <si>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</si>
  <si>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</si>
  <si>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</si>
  <si>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</si>
  <si>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</si>
  <si>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</si>
  <si>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</si>
  <si>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</si>
  <si>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</si>
  <si>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</si>
  <si>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</si>
  <si>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</si>
  <si>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</si>
  <si>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</si>
  <si>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</si>
  <si>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</si>
  <si>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</si>
  <si>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</si>
  <si>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</si>
  <si>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</si>
  <si>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</si>
  <si>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</si>
  <si>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</si>
  <si>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</si>
  <si>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</si>
  <si>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</si>
  <si>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</si>
  <si>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</si>
  <si>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</si>
  <si>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</si>
  <si>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</si>
  <si>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</si>
  <si>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</si>
  <si>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</si>
  <si>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</si>
  <si>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</si>
  <si>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</si>
  <si>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</si>
  <si>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</si>
  <si>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</si>
  <si>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</si>
  <si>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</si>
  <si>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</si>
  <si>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</si>
  <si>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</si>
  <si>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</si>
  <si>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</si>
  <si>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</si>
  <si>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</si>
  <si>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</si>
  <si>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</si>
  <si>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</si>
  <si>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</si>
  <si>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</si>
  <si>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</si>
  <si>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</si>
  <si>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</si>
  <si>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</si>
  <si>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</si>
  <si>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</si>
  <si>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</si>
  <si>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</si>
  <si>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</si>
  <si>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</si>
  <si>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</si>
  <si>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</si>
  <si>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</si>
  <si>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</si>
  <si>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</si>
  <si>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</si>
  <si>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</si>
  <si>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</si>
  <si>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</si>
  <si>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</si>
  <si>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</si>
  <si>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</si>
  <si>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</si>
  <si>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</si>
  <si>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</si>
  <si>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</si>
  <si>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</si>
  <si>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</si>
  <si>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</si>
  <si>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</si>
  <si>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</si>
  <si>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</si>
  <si>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</si>
  <si>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</si>
  <si>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</si>
  <si>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</si>
  <si>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</si>
  <si>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</si>
  <si>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</si>
  <si>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</si>
  <si>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</si>
  <si>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</si>
  <si>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</si>
  <si>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</si>
  <si>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</si>
  <si>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</si>
  <si>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</si>
  <si>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</si>
  <si>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</si>
  <si>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</si>
  <si>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</si>
  <si>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</si>
  <si>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</si>
  <si>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</si>
  <si>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</si>
  <si>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</si>
  <si>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</si>
  <si>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</si>
  <si>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</si>
  <si>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</si>
  <si>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</si>
  <si>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</si>
  <si>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</si>
  <si>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</si>
  <si>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</si>
  <si>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</si>
  <si>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</si>
  <si>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</si>
  <si>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</si>
  <si>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</si>
  <si>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</si>
  <si>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</si>
  <si>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</si>
  <si>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</si>
  <si>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</si>
  <si>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</si>
  <si>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</si>
  <si>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</si>
  <si>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</si>
  <si>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</si>
  <si>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</si>
  <si>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</si>
  <si>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</si>
  <si>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</si>
  <si>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</si>
  <si>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</si>
  <si>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</si>
  <si>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</si>
  <si>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</si>
  <si>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</si>
  <si>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</si>
  <si>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</si>
  <si>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</si>
  <si>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</si>
  <si>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</si>
  <si>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</si>
  <si>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</si>
  <si>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</si>
  <si>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</si>
  <si>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</si>
  <si>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</si>
  <si>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</si>
  <si>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</si>
  <si>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</si>
  <si>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</si>
  <si>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</si>
  <si>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</si>
  <si>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</si>
  <si>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</si>
  <si>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</si>
  <si>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</si>
  <si>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</si>
  <si>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</si>
  <si>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</si>
  <si>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</si>
  <si>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</si>
  <si>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</si>
  <si>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</si>
  <si>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</si>
  <si>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</si>
  <si>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</si>
  <si>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</si>
  <si>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</si>
  <si>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</si>
  <si>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</si>
  <si>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</si>
  <si>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</si>
  <si>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</si>
  <si>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</si>
  <si>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</si>
  <si>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</si>
  <si>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</si>
  <si>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</si>
  <si>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</si>
  <si>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</si>
  <si>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</si>
  <si>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</si>
  <si>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</si>
  <si>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</si>
  <si>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</si>
  <si>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</si>
  <si>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</si>
  <si>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</si>
  <si>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</si>
  <si>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</si>
  <si>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</si>
  <si>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</si>
  <si>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</si>
  <si>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</si>
  <si>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</si>
  <si>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</si>
  <si>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</si>
  <si>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</si>
  <si>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</si>
  <si>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</si>
  <si>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</si>
  <si>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</si>
  <si>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</si>
  <si>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</si>
  <si>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</si>
  <si>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</si>
  <si>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</si>
  <si>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</si>
  <si>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</si>
  <si>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</si>
  <si>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</si>
  <si>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</si>
  <si>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</si>
  <si>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</si>
  <si>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</si>
  <si>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</si>
  <si>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</si>
  <si>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</si>
  <si>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</si>
  <si>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</si>
  <si>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</si>
  <si>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</si>
  <si>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</si>
  <si>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</si>
  <si>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</si>
  <si>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</si>
  <si>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</si>
  <si>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</si>
  <si>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</si>
  <si>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</si>
  <si>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</si>
  <si>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</si>
  <si>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</si>
  <si>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</si>
  <si>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</si>
  <si>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</si>
  <si>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</si>
  <si>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</si>
  <si>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</si>
  <si>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</si>
  <si>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</si>
  <si>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</si>
  <si>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</si>
  <si>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</si>
  <si>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</si>
  <si>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</si>
  <si>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</si>
  <si>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</si>
  <si>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</si>
  <si>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</si>
  <si>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</si>
  <si>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</si>
  <si>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</si>
  <si>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</si>
  <si>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</si>
  <si>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</si>
  <si>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</si>
  <si>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</si>
  <si>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</si>
  <si>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</si>
  <si>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</si>
  <si>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</si>
  <si>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</si>
  <si>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</si>
  <si>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</si>
  <si>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</si>
  <si>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</si>
  <si>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</si>
  <si>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</si>
  <si>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</si>
  <si>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</si>
  <si>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</si>
  <si>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</si>
  <si>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</si>
  <si>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</si>
  <si>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</si>
  <si>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</si>
  <si>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</si>
  <si>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</si>
  <si>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</si>
  <si>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</si>
  <si>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</si>
  <si>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</si>
  <si>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</si>
  <si>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</si>
  <si>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</si>
  <si>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</si>
  <si>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</si>
  <si>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</si>
  <si>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</si>
  <si>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</si>
  <si>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</si>
  <si>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</si>
  <si>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</si>
  <si>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</si>
  <si>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</si>
  <si>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</si>
  <si>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</si>
  <si>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</si>
  <si>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</si>
  <si>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</si>
  <si>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</si>
  <si>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</si>
  <si>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</si>
  <si>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</si>
  <si>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</si>
  <si>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</si>
  <si>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</si>
  <si>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</si>
  <si>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</si>
  <si>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</si>
  <si>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</si>
  <si>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</si>
  <si>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</si>
  <si>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</si>
  <si>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</si>
  <si>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</si>
  <si>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</si>
  <si>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</si>
  <si>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</si>
  <si>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</si>
  <si>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</si>
  <si>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</si>
  <si>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</si>
  <si>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</si>
  <si>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</si>
  <si>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</si>
  <si>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</si>
  <si>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</si>
  <si>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</si>
  <si>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</si>
  <si>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</si>
  <si>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</si>
  <si>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</si>
  <si>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</si>
  <si>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</si>
  <si>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</si>
  <si>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</si>
  <si>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</si>
  <si>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</si>
  <si>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</si>
  <si>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</si>
  <si>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</si>
  <si>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</si>
  <si>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</si>
  <si>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</si>
  <si>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</si>
  <si>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</si>
  <si>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</si>
  <si>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</si>
  <si>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</si>
  <si>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</si>
  <si>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</si>
  <si>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</si>
  <si>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</si>
  <si>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</si>
  <si>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</si>
  <si>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</si>
  <si>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</si>
  <si>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</si>
  <si>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</si>
  <si>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</si>
  <si>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</si>
  <si>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</si>
  <si>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</si>
  <si>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</si>
  <si>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</si>
  <si>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</si>
  <si>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</si>
  <si>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</si>
  <si>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</si>
  <si>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</si>
  <si>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</si>
  <si>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</si>
  <si>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</si>
  <si>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</si>
  <si>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</si>
  <si>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</si>
  <si>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</si>
  <si>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</si>
  <si>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</si>
  <si>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</si>
  <si>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</si>
  <si>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</si>
  <si>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</si>
  <si>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</si>
  <si>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</si>
  <si>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</si>
  <si>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</si>
  <si>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</si>
  <si>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</si>
  <si>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</si>
  <si>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</si>
  <si>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</si>
  <si>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</si>
  <si>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</si>
  <si>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</si>
  <si>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</si>
  <si>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</si>
  <si>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</si>
  <si>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</si>
  <si>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</si>
  <si>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</si>
  <si>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</si>
  <si>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中诚信托有限责任公司</t>
    <phoneticPr fontId="6" type="noConversion"/>
  </si>
  <si>
    <t>重庆核盛房地产开发有限公司</t>
    <phoneticPr fontId="6" type="noConversion"/>
  </si>
  <si>
    <t>抵押</t>
  </si>
  <si>
    <t>房地产抵押价值</t>
  </si>
  <si>
    <t>已注销</t>
  </si>
  <si>
    <t>其他：</t>
  </si>
  <si>
    <t>企业</t>
  </si>
  <si>
    <t>重庆市</t>
  </si>
  <si>
    <t>重庆市</t>
    <phoneticPr fontId="6" type="noConversion"/>
  </si>
  <si>
    <r>
      <rPr>
        <sz val="12"/>
        <color theme="9" tint="-0.249977111117893"/>
        <rFont val="宋体"/>
        <family val="3"/>
        <charset val="134"/>
      </rPr>
      <t>南岸区弹子石</t>
    </r>
    <r>
      <rPr>
        <sz val="12"/>
        <color theme="9" tint="-0.249977111117893"/>
        <rFont val="Arial"/>
        <family val="2"/>
      </rPr>
      <t>D4-1-1/04</t>
    </r>
    <r>
      <rPr>
        <sz val="12"/>
        <color theme="9" tint="-0.249977111117893"/>
        <rFont val="宋体"/>
        <family val="3"/>
        <charset val="134"/>
      </rPr>
      <t>、</t>
    </r>
    <r>
      <rPr>
        <sz val="12"/>
        <color theme="9" tint="-0.249977111117893"/>
        <rFont val="Arial"/>
        <family val="2"/>
      </rPr>
      <t>D4-1-2/04</t>
    </r>
    <r>
      <rPr>
        <sz val="12"/>
        <color theme="9" tint="-0.249977111117893"/>
        <rFont val="宋体"/>
        <family val="3"/>
        <charset val="134"/>
      </rPr>
      <t>地块</t>
    </r>
    <phoneticPr fontId="6" type="noConversion"/>
  </si>
  <si>
    <t>抵押范围</t>
    <phoneticPr fontId="6" type="noConversion"/>
  </si>
  <si>
    <t>出让</t>
  </si>
  <si>
    <t>所属地块</t>
    <phoneticPr fontId="143" type="noConversion"/>
  </si>
  <si>
    <t>已取得预售许可证的楼栋</t>
    <phoneticPr fontId="143" type="noConversion"/>
  </si>
  <si>
    <t>套数</t>
    <phoneticPr fontId="143" type="noConversion"/>
  </si>
  <si>
    <t>建筑面积（平方米）</t>
    <phoneticPr fontId="143" type="noConversion"/>
  </si>
  <si>
    <t>用途</t>
    <phoneticPr fontId="143" type="noConversion"/>
  </si>
  <si>
    <t>D4-1-1</t>
    <phoneticPr fontId="143" type="noConversion"/>
  </si>
  <si>
    <t>学苑路3号1-2和1-3号楼</t>
    <phoneticPr fontId="143" type="noConversion"/>
  </si>
  <si>
    <t>住宅</t>
    <phoneticPr fontId="143" type="noConversion"/>
  </si>
  <si>
    <t>学苑路3号1-4号楼</t>
    <phoneticPr fontId="143" type="noConversion"/>
  </si>
  <si>
    <t>学苑路3号1-5号楼</t>
    <phoneticPr fontId="143" type="noConversion"/>
  </si>
  <si>
    <t>D4-1-2</t>
    <phoneticPr fontId="143" type="noConversion"/>
  </si>
  <si>
    <t>学苑路7号2-1号楼</t>
    <phoneticPr fontId="143" type="noConversion"/>
  </si>
  <si>
    <t>住宅类公寓</t>
    <phoneticPr fontId="143" type="noConversion"/>
  </si>
  <si>
    <t>学苑路7号2-2号楼</t>
    <phoneticPr fontId="143" type="noConversion"/>
  </si>
  <si>
    <t>学苑路7号2-3号楼</t>
    <phoneticPr fontId="143" type="noConversion"/>
  </si>
  <si>
    <t>住宅类小计</t>
    <phoneticPr fontId="143" type="noConversion"/>
  </si>
  <si>
    <t>学苑路3号1-2和1-3号楼底商</t>
    <phoneticPr fontId="143" type="noConversion"/>
  </si>
  <si>
    <t>商铺</t>
    <phoneticPr fontId="143" type="noConversion"/>
  </si>
  <si>
    <t>非住宅类小计</t>
    <phoneticPr fontId="143" type="noConversion"/>
  </si>
  <si>
    <t>合计</t>
    <phoneticPr fontId="143" type="noConversion"/>
  </si>
  <si>
    <t>所属地块</t>
    <phoneticPr fontId="143" type="noConversion"/>
  </si>
  <si>
    <t>未取得预售许可证的在建楼栋</t>
    <phoneticPr fontId="143" type="noConversion"/>
  </si>
  <si>
    <t>建筑面积（平方米）</t>
    <phoneticPr fontId="143" type="noConversion"/>
  </si>
  <si>
    <t>用途</t>
    <phoneticPr fontId="143" type="noConversion"/>
  </si>
  <si>
    <t>D4-1-1</t>
    <phoneticPr fontId="143" type="noConversion"/>
  </si>
  <si>
    <t>1-6#楼</t>
  </si>
  <si>
    <t>住宅类公寓</t>
    <phoneticPr fontId="143" type="noConversion"/>
  </si>
  <si>
    <t>住宅类小计</t>
    <phoneticPr fontId="143" type="noConversion"/>
  </si>
  <si>
    <t>1-1号楼</t>
    <phoneticPr fontId="143" type="noConversion"/>
  </si>
  <si>
    <t>办公楼</t>
    <phoneticPr fontId="143" type="noConversion"/>
  </si>
  <si>
    <t>销售中心</t>
  </si>
  <si>
    <t>商业性质</t>
    <phoneticPr fontId="143" type="noConversion"/>
  </si>
  <si>
    <t>1-1#底商</t>
  </si>
  <si>
    <t>1-5号楼商业</t>
  </si>
  <si>
    <t>1-6#楼商业</t>
  </si>
  <si>
    <t>1-7#楼</t>
  </si>
  <si>
    <t>1-8#楼</t>
  </si>
  <si>
    <t>1-9#楼</t>
  </si>
  <si>
    <t>1-10#楼</t>
  </si>
  <si>
    <t>1-11#楼</t>
  </si>
  <si>
    <t>1-12#楼</t>
  </si>
  <si>
    <t>地下商业</t>
  </si>
  <si>
    <t>是</t>
  </si>
  <si>
    <t>地上</t>
  </si>
  <si>
    <t>住宅</t>
  </si>
  <si>
    <t>地块名称</t>
  </si>
  <si>
    <t>城市</t>
  </si>
  <si>
    <t>用地性质</t>
  </si>
  <si>
    <t>出让方式</t>
  </si>
  <si>
    <t>详细规划</t>
  </si>
  <si>
    <t>建设用地面积(㎡)</t>
  </si>
  <si>
    <t>规划建筑面积(㎡)</t>
  </si>
  <si>
    <t>容积率</t>
  </si>
  <si>
    <t>商业比例</t>
  </si>
  <si>
    <t>保障房类型</t>
  </si>
  <si>
    <t>成交特殊政策</t>
  </si>
  <si>
    <t>截止日期</t>
  </si>
  <si>
    <t>成交日期</t>
  </si>
  <si>
    <t>受让单位</t>
  </si>
  <si>
    <t>起始价(万元)</t>
  </si>
  <si>
    <t>成交价(万元)</t>
  </si>
  <si>
    <t>成交楼面价(元/㎡)</t>
  </si>
  <si>
    <t>溢价率</t>
  </si>
  <si>
    <t>出让年限</t>
  </si>
  <si>
    <t>南岸区茶园组团B分区B41-1/03、B43-3/03、B42-2/03、B43-2/03、B43-1/03号宗地</t>
  </si>
  <si>
    <t>综合用地(含住宅)</t>
  </si>
  <si>
    <t>拍卖</t>
  </si>
  <si>
    <t>二类居住用地、商业用地</t>
  </si>
  <si>
    <t>＞1并且≤1.4</t>
  </si>
  <si>
    <t>2017-09-28</t>
  </si>
  <si>
    <t>保利(重庆)投资实业有限公司</t>
  </si>
  <si>
    <t>40年</t>
  </si>
  <si>
    <t>南岸区南坪组团D分区D10-3-2/02号宗地</t>
  </si>
  <si>
    <t>住宅用地</t>
  </si>
  <si>
    <t>挂牌</t>
  </si>
  <si>
    <t>二类居住用地</t>
  </si>
  <si>
    <t>≥1并且≤7.9</t>
  </si>
  <si>
    <t>2017-05-26</t>
  </si>
  <si>
    <t>2017-06-09</t>
  </si>
  <si>
    <t>重庆招商依城房地产开发有限公司</t>
  </si>
  <si>
    <t>二类居住及商业混合用地</t>
  </si>
  <si>
    <t>≤3.50</t>
  </si>
  <si>
    <t>2016-12-23</t>
  </si>
  <si>
    <t>重庆伟清房地产开发有限公司</t>
  </si>
  <si>
    <t>70年40年</t>
  </si>
  <si>
    <t>南岸区南坪组团D分区D13-10-1/03号宗地</t>
    <phoneticPr fontId="143" type="noConversion"/>
  </si>
  <si>
    <t>未包含在土地购买价格中</t>
  </si>
  <si>
    <t>已包含在土地取得成本中</t>
  </si>
  <si>
    <t>住宅类公寓</t>
  </si>
  <si>
    <t>办公楼</t>
  </si>
  <si>
    <t>商铺</t>
  </si>
  <si>
    <t>成本法</t>
  </si>
  <si>
    <t>假设开发法</t>
  </si>
  <si>
    <t>项目局部</t>
  </si>
  <si>
    <t>自持</t>
    <phoneticPr fontId="31" type="noConversion"/>
  </si>
  <si>
    <t>无</t>
    <phoneticPr fontId="31" type="noConversion"/>
  </si>
  <si>
    <t>有</t>
    <phoneticPr fontId="31" type="noConversion"/>
  </si>
  <si>
    <t>无</t>
    <phoneticPr fontId="31" type="noConversion"/>
  </si>
  <si>
    <t>较好</t>
  </si>
  <si>
    <t>一般</t>
  </si>
  <si>
    <t>六通</t>
  </si>
  <si>
    <t>长嘉汇</t>
    <phoneticPr fontId="3" type="noConversion"/>
  </si>
  <si>
    <t>住宅</t>
    <phoneticPr fontId="25" type="noConversion"/>
  </si>
  <si>
    <t>地下</t>
  </si>
  <si>
    <t>40-50（含）</t>
  </si>
  <si>
    <t>高层</t>
  </si>
  <si>
    <t>高层</t>
    <phoneticPr fontId="25" type="noConversion"/>
  </si>
  <si>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</si>
  <si>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</si>
  <si>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</si>
  <si>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</si>
  <si>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</si>
  <si>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</si>
  <si>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</si>
  <si>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</si>
  <si>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</si>
  <si>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</si>
  <si>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</si>
  <si>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</si>
  <si>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</si>
  <si>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毛坯</t>
  </si>
  <si>
    <t>铂悦澜湾</t>
    <phoneticPr fontId="3" type="noConversion"/>
  </si>
  <si>
    <t>紫金一品一期</t>
    <phoneticPr fontId="25" type="noConversion"/>
  </si>
  <si>
    <t>好</t>
  </si>
  <si>
    <t>在建地铁换线</t>
    <phoneticPr fontId="25" type="noConversion"/>
  </si>
  <si>
    <t>在建（套用方法）</t>
  </si>
  <si>
    <t>非生产用房</t>
  </si>
  <si>
    <t>否</t>
  </si>
  <si>
    <t>收益法-办公</t>
    <phoneticPr fontId="16" type="noConversion"/>
  </si>
  <si>
    <t>押一</t>
  </si>
  <si>
    <t>收益法-商业</t>
  </si>
  <si>
    <t>收益法-商业</t>
    <phoneticPr fontId="16" type="noConversion"/>
  </si>
  <si>
    <t>住宅</t>
    <phoneticPr fontId="31" type="noConversion"/>
  </si>
  <si>
    <t>一层</t>
    <phoneticPr fontId="3" type="noConversion"/>
  </si>
  <si>
    <t>地下</t>
    <phoneticPr fontId="3" type="noConversion"/>
  </si>
  <si>
    <t>二层</t>
    <phoneticPr fontId="3" type="noConversion"/>
  </si>
  <si>
    <t>较规则</t>
  </si>
  <si>
    <t>较规则</t>
    <phoneticPr fontId="31" type="noConversion"/>
  </si>
  <si>
    <t>六通</t>
    <phoneticPr fontId="31" type="noConversion"/>
  </si>
  <si>
    <t>较好</t>
    <phoneticPr fontId="31" type="noConversion"/>
  </si>
  <si>
    <t>高速路</t>
    <phoneticPr fontId="31" type="noConversion"/>
  </si>
  <si>
    <t>快速路</t>
    <phoneticPr fontId="31" type="noConversion"/>
  </si>
  <si>
    <t>主干道</t>
  </si>
  <si>
    <t>主干道</t>
    <phoneticPr fontId="31" type="noConversion"/>
  </si>
  <si>
    <t>次干道</t>
    <phoneticPr fontId="31" type="noConversion"/>
  </si>
  <si>
    <t>支路</t>
  </si>
  <si>
    <t>支路</t>
    <phoneticPr fontId="31" type="noConversion"/>
  </si>
  <si>
    <t>中档</t>
  </si>
  <si>
    <t>中档</t>
    <phoneticPr fontId="25" type="noConversion"/>
  </si>
  <si>
    <t>已拿预售证的未售清单</t>
  </si>
  <si>
    <t>序号</t>
  </si>
  <si>
    <t>规划</t>
  </si>
  <si>
    <t>楼栋</t>
  </si>
  <si>
    <t>楼层</t>
  </si>
  <si>
    <t>房号</t>
  </si>
  <si>
    <t>建面</t>
  </si>
  <si>
    <t>套面</t>
  </si>
  <si>
    <t>建面单价</t>
  </si>
  <si>
    <t>套内单价</t>
  </si>
  <si>
    <t>总价</t>
  </si>
  <si>
    <t>备注</t>
  </si>
  <si>
    <t>1</t>
  </si>
  <si>
    <t>2-2</t>
  </si>
  <si>
    <t>3</t>
  </si>
  <si>
    <t>样板间</t>
  </si>
  <si>
    <t>2</t>
  </si>
  <si>
    <t>2-1</t>
  </si>
  <si>
    <t>4</t>
  </si>
  <si>
    <t>5</t>
  </si>
  <si>
    <t>6</t>
  </si>
  <si>
    <t>7</t>
  </si>
  <si>
    <t>22建抵款房源</t>
  </si>
  <si>
    <t>8</t>
  </si>
  <si>
    <t>9</t>
  </si>
  <si>
    <t>10</t>
  </si>
  <si>
    <t>11</t>
  </si>
  <si>
    <t>华辰抵款房源</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</si>
  <si>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</si>
  <si>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</si>
  <si>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</si>
  <si>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</si>
  <si>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</si>
  <si>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</si>
  <si>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</si>
  <si>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</si>
  <si>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</si>
  <si>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</si>
  <si>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</si>
  <si>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</si>
  <si>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</si>
  <si>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</si>
  <si>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</si>
  <si>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</si>
  <si>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</si>
  <si>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</si>
  <si>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</si>
  <si>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</si>
  <si>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</si>
  <si>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</si>
  <si>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</si>
  <si>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</si>
  <si>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</si>
  <si>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</si>
  <si>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</si>
  <si>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</si>
  <si>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</si>
  <si>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</si>
  <si>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</si>
  <si>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</si>
  <si>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</si>
  <si>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</si>
  <si>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</si>
  <si>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</si>
  <si>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</si>
  <si>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</si>
  <si>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</si>
  <si>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</si>
  <si>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学苑路3号</t>
  </si>
  <si>
    <t>附5号</t>
  </si>
  <si>
    <t>52</t>
  </si>
  <si>
    <t>附7号</t>
  </si>
  <si>
    <t>53</t>
  </si>
  <si>
    <t>附8号</t>
  </si>
  <si>
    <t>54</t>
  </si>
  <si>
    <t>附10号</t>
  </si>
  <si>
    <t>55</t>
  </si>
  <si>
    <t>附20号</t>
  </si>
  <si>
    <t>56</t>
  </si>
  <si>
    <t>附22号</t>
  </si>
  <si>
    <t>57</t>
  </si>
  <si>
    <t>附23号</t>
  </si>
  <si>
    <t>58</t>
  </si>
  <si>
    <t>附25号</t>
  </si>
  <si>
    <t>59</t>
  </si>
  <si>
    <t>附26号</t>
  </si>
  <si>
    <t>60</t>
  </si>
  <si>
    <t>附27号</t>
  </si>
  <si>
    <t>61</t>
  </si>
  <si>
    <t>附1号</t>
  </si>
  <si>
    <t>62</t>
  </si>
  <si>
    <t>附2号</t>
  </si>
  <si>
    <t>63</t>
  </si>
  <si>
    <t>附3号</t>
  </si>
  <si>
    <t>64</t>
  </si>
  <si>
    <t>附9号2-1</t>
  </si>
  <si>
    <t>65</t>
  </si>
  <si>
    <t>附9号2-23</t>
  </si>
  <si>
    <t>住宅</t>
    <phoneticPr fontId="7" type="noConversion"/>
  </si>
  <si>
    <t>商业</t>
    <phoneticPr fontId="7" type="noConversion"/>
  </si>
  <si>
    <t>成新度</t>
  </si>
  <si>
    <t>成本法</t>
    <phoneticPr fontId="8" type="noConversion"/>
  </si>
  <si>
    <t>比较法（住宅）</t>
    <phoneticPr fontId="8" type="noConversion"/>
  </si>
  <si>
    <t>收益法（商业）</t>
    <phoneticPr fontId="8" type="noConversion"/>
  </si>
  <si>
    <t>总价</t>
    <phoneticPr fontId="8" type="noConversion"/>
  </si>
  <si>
    <t>单价</t>
    <phoneticPr fontId="8" type="noConversion"/>
  </si>
  <si>
    <t>权重结果总价</t>
    <phoneticPr fontId="8" type="noConversion"/>
  </si>
  <si>
    <t>权重结果单价</t>
    <phoneticPr fontId="8" type="noConversion"/>
  </si>
  <si>
    <t>按租金收入计税</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</si>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</sst>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10"/>
      <color theme="1"/>
      <name val="微软雅黑"/>
      <family val="2"/>
      <charset val="134"/>
    </font>
    <font>
      <sz val="9"/>
      <color theme="1"/>
      <name val="宋体"/>
      <family val="3"/>
      <charset val="134"/>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6" borderId="1" xfId="0" applyFont="1" applyFill="1" applyBorder="1" applyAlignment="1"/>
    <xf numFmtId="0" fontId="254" fillId="6" borderId="1" xfId="0" applyFont="1" applyFill="1" applyBorder="1" applyAlignment="1">
      <alignment horizontal="right"/>
    </xf>
    <xf numFmtId="0" fontId="255" fillId="0" borderId="1" xfId="0" applyFont="1" applyBorder="1" applyAlignment="1"/>
    <xf numFmtId="0" fontId="255" fillId="0" borderId="1" xfId="0" applyFont="1" applyBorder="1" applyAlignment="1">
      <alignment horizontal="right"/>
    </xf>
    <xf numFmtId="0" fontId="255" fillId="6" borderId="1" xfId="0" applyFont="1" applyFill="1" applyBorder="1" applyAlignment="1">
      <alignment horizontal="left" vertical="center"/>
    </xf>
    <xf numFmtId="0" fontId="255" fillId="6" borderId="1" xfId="0" applyFont="1" applyFill="1" applyBorder="1" applyAlignment="1"/>
    <xf numFmtId="0" fontId="255" fillId="6" borderId="1" xfId="0" applyFont="1" applyFill="1" applyBorder="1" applyAlignment="1">
      <alignment horizontal="right"/>
    </xf>
    <xf numFmtId="0" fontId="255" fillId="7" borderId="1" xfId="0" applyFont="1" applyFill="1" applyBorder="1" applyAlignment="1">
      <alignment horizontal="left"/>
    </xf>
    <xf numFmtId="0" fontId="255" fillId="7" borderId="1" xfId="0" applyFont="1" applyFill="1" applyBorder="1" applyAlignment="1"/>
    <xf numFmtId="0" fontId="255" fillId="6" borderId="1" xfId="0" applyFont="1" applyFill="1" applyBorder="1" applyAlignment="1">
      <alignment horizontal="left"/>
    </xf>
    <xf numFmtId="0" fontId="255" fillId="0" borderId="1" xfId="0" applyFont="1" applyBorder="1" applyAlignment="1">
      <alignment horizontal="left"/>
    </xf>
    <xf numFmtId="0" fontId="254" fillId="0" borderId="1" xfId="0" applyFont="1" applyBorder="1" applyAlignment="1"/>
    <xf numFmtId="0" fontId="254" fillId="0" borderId="1" xfId="0" applyFont="1" applyBorder="1" applyAlignment="1">
      <alignment horizontal="right"/>
    </xf>
    <xf numFmtId="0" fontId="255" fillId="0" borderId="0" xfId="0" applyFont="1" applyAlignment="1">
      <alignment horizontal="left"/>
    </xf>
    <xf numFmtId="0" fontId="255" fillId="0" borderId="0" xfId="0" applyFont="1" applyAlignment="1"/>
    <xf numFmtId="0" fontId="80" fillId="0" borderId="1" xfId="0" applyFont="1" applyBorder="1" applyAlignment="1" applyProtection="1">
      <alignment horizontal="center" vertical="center" wrapText="1"/>
      <protection locked="0"/>
    </xf>
    <xf numFmtId="0" fontId="0" fillId="17" borderId="0" xfId="0" applyFill="1" applyAlignment="1"/>
    <xf numFmtId="0" fontId="99" fillId="17" borderId="0" xfId="0" applyFont="1"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4" fontId="47" fillId="17" borderId="70" xfId="0" applyNumberFormat="1" applyFont="1" applyFill="1" applyBorder="1" applyAlignment="1" applyProtection="1">
      <alignment horizontal="center" vertical="center" wrapText="1"/>
      <protection locked="0"/>
    </xf>
    <xf numFmtId="0" fontId="73" fillId="17" borderId="51" xfId="0" applyNumberFormat="1" applyFont="1" applyFill="1" applyBorder="1" applyAlignment="1" applyProtection="1">
      <alignment vertical="center" wrapText="1"/>
      <protection locked="0"/>
    </xf>
    <xf numFmtId="0" fontId="73" fillId="17" borderId="20" xfId="0" applyNumberFormat="1" applyFont="1" applyFill="1" applyBorder="1" applyAlignment="1" applyProtection="1">
      <alignment vertical="center" wrapText="1"/>
      <protection locked="0"/>
    </xf>
    <xf numFmtId="49" fontId="98" fillId="0" borderId="3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49" fontId="54" fillId="17" borderId="23"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49" fontId="256" fillId="7" borderId="13" xfId="0" applyNumberFormat="1" applyFont="1" applyFill="1" applyBorder="1" applyAlignment="1">
      <alignment horizontal="center" vertical="center" wrapText="1"/>
    </xf>
    <xf numFmtId="186" fontId="256" fillId="7" borderId="1" xfId="0" applyNumberFormat="1" applyFont="1" applyFill="1" applyBorder="1" applyAlignment="1">
      <alignment horizontal="center" vertical="center" wrapText="1"/>
    </xf>
    <xf numFmtId="176" fontId="256" fillId="7" borderId="1" xfId="0" applyNumberFormat="1" applyFont="1" applyFill="1" applyBorder="1" applyAlignment="1">
      <alignment horizontal="center" vertical="center" wrapText="1"/>
    </xf>
    <xf numFmtId="49" fontId="256" fillId="7" borderId="1" xfId="0" applyNumberFormat="1" applyFont="1" applyFill="1" applyBorder="1" applyAlignment="1">
      <alignment horizontal="center" vertical="center" wrapText="1"/>
    </xf>
    <xf numFmtId="176" fontId="256" fillId="7" borderId="1" xfId="0" applyNumberFormat="1" applyFont="1" applyFill="1" applyBorder="1" applyAlignment="1">
      <alignment horizontal="center" vertical="center"/>
    </xf>
    <xf numFmtId="49" fontId="257" fillId="7" borderId="1" xfId="0" applyNumberFormat="1" applyFont="1" applyFill="1" applyBorder="1" applyAlignment="1">
      <alignment horizontal="center" vertical="center" wrapText="1"/>
    </xf>
    <xf numFmtId="186" fontId="256" fillId="7" borderId="1" xfId="0" applyNumberFormat="1" applyFont="1" applyFill="1" applyBorder="1" applyAlignment="1">
      <alignment horizontal="center" vertical="center"/>
    </xf>
    <xf numFmtId="49" fontId="256" fillId="7" borderId="1" xfId="0" applyNumberFormat="1"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17" borderId="42" xfId="0" applyFont="1" applyFill="1" applyBorder="1" applyProtection="1">
      <alignment vertical="center"/>
      <protection locked="0"/>
    </xf>
    <xf numFmtId="0" fontId="50" fillId="17" borderId="47" xfId="0" applyFont="1" applyFill="1" applyBorder="1" applyProtection="1">
      <alignment vertical="center"/>
      <protection locked="0"/>
    </xf>
    <xf numFmtId="0" fontId="50" fillId="17" borderId="43" xfId="0" applyFont="1" applyFill="1" applyBorder="1" applyProtection="1">
      <alignment vertical="center"/>
      <protection locked="0"/>
    </xf>
    <xf numFmtId="0" fontId="50" fillId="17" borderId="51" xfId="0" applyFont="1" applyFill="1" applyBorder="1" applyProtection="1">
      <alignment vertical="center"/>
      <protection locked="0"/>
    </xf>
    <xf numFmtId="0" fontId="80" fillId="17" borderId="20" xfId="0" applyFont="1" applyFill="1" applyBorder="1" applyProtection="1">
      <alignment vertical="center"/>
      <protection locked="0"/>
    </xf>
    <xf numFmtId="0" fontId="80" fillId="17" borderId="21" xfId="0" applyFont="1" applyFill="1" applyBorder="1" applyProtection="1">
      <alignment vertical="center"/>
      <protection locked="0"/>
    </xf>
    <xf numFmtId="0" fontId="80" fillId="17" borderId="37" xfId="0" applyFont="1" applyFill="1" applyBorder="1" applyProtection="1">
      <alignment vertical="center"/>
      <protection locked="0"/>
    </xf>
    <xf numFmtId="0" fontId="50" fillId="17" borderId="54" xfId="0" applyFont="1" applyFill="1" applyBorder="1" applyProtection="1">
      <alignment vertical="center"/>
      <protection locked="0"/>
    </xf>
    <xf numFmtId="0" fontId="50" fillId="17" borderId="48" xfId="0" applyFont="1" applyFill="1" applyBorder="1" applyProtection="1">
      <alignment vertical="center"/>
      <protection locked="0"/>
    </xf>
    <xf numFmtId="181" fontId="47" fillId="9" borderId="24" xfId="0" applyNumberFormat="1" applyFont="1" applyFill="1" applyBorder="1" applyAlignment="1" applyProtection="1">
      <alignment vertical="center"/>
      <protection locked="0"/>
    </xf>
    <xf numFmtId="0" fontId="47" fillId="9" borderId="1" xfId="0" applyFont="1" applyFill="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3" fillId="8" borderId="38" xfId="0" applyNumberFormat="1" applyFont="1" applyFill="1" applyBorder="1" applyAlignment="1" applyProtection="1">
      <alignment vertical="center" wrapText="1"/>
    </xf>
    <xf numFmtId="0" fontId="61" fillId="9" borderId="0" xfId="0" applyFont="1" applyFill="1" applyAlignment="1" applyProtection="1">
      <alignment horizontal="right" vertical="center"/>
      <protection locked="0"/>
    </xf>
    <xf numFmtId="0" fontId="50" fillId="9" borderId="1" xfId="0" applyFont="1" applyFill="1" applyBorder="1" applyAlignment="1" applyProtection="1">
      <alignment horizontal="left" vertical="center" wrapText="1"/>
      <protection locked="0"/>
    </xf>
    <xf numFmtId="0" fontId="55" fillId="8" borderId="1" xfId="0" applyFont="1" applyFill="1" applyBorder="1" applyAlignment="1" applyProtection="1">
      <alignment horizontal="center" vertical="center"/>
    </xf>
    <xf numFmtId="179" fontId="50" fillId="8" borderId="1"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0" fontId="47" fillId="8" borderId="37" xfId="0" applyNumberFormat="1" applyFont="1" applyFill="1" applyBorder="1" applyAlignment="1" applyProtection="1">
      <alignment horizontal="center" vertical="center" wrapText="1"/>
      <protection locked="0"/>
    </xf>
    <xf numFmtId="0" fontId="61" fillId="9" borderId="7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1" xfId="0" applyFont="1" applyBorder="1" applyAlignment="1">
      <alignment horizontal="left" vertical="center"/>
    </xf>
    <xf numFmtId="0" fontId="255" fillId="0" borderId="13" xfId="0" applyFont="1" applyBorder="1" applyAlignment="1">
      <alignment horizontal="left" vertical="center"/>
    </xf>
    <xf numFmtId="0" fontId="255" fillId="0" borderId="15" xfId="0" applyFont="1" applyBorder="1" applyAlignment="1">
      <alignment horizontal="left" vertical="center"/>
    </xf>
    <xf numFmtId="0" fontId="255" fillId="0" borderId="2" xfId="0" applyFont="1" applyBorder="1" applyAlignment="1">
      <alignment horizontal="left" vertical="center"/>
    </xf>
    <xf numFmtId="192" fontId="210" fillId="7" borderId="0" xfId="0" applyNumberFormat="1"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8" borderId="30" xfId="0" applyFont="1" applyFill="1" applyBorder="1" applyAlignment="1" applyProtection="1">
      <alignment horizontal="center" vertical="center" wrapText="1"/>
    </xf>
    <xf numFmtId="0" fontId="54" fillId="8"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重庆市南岸区弹子石D4-1-1/04、D4-1-2/04地块出让国有建设用地使用权及在建建筑物房地产抵押价值预评估</v>
      </c>
    </row>
    <row r="3" spans="1:2" s="1591" customFormat="1">
      <c r="A3" s="1589" t="s">
        <v>1221</v>
      </c>
      <c r="B3" s="1590" t="str">
        <f>'预评函-封皮'!B40</f>
        <v>重庆核盛房地产开发有限公司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受贵公司委托，我公司对重庆市南岸区弹子石D4-1-1/04、D4-1-2/04地块出让国有建设用地使用权及在建建筑物房地产抵押价值进行了预评估。</v>
      </c>
    </row>
    <row r="7" spans="1:2" s="1591" customFormat="1">
      <c r="A7" s="1589" t="s">
        <v>1264</v>
      </c>
      <c r="B7" s="1590" t="str">
        <f>'预评函-1'!A7</f>
        <v>估价对象为重庆市南岸区弹子石D4-1-1/04、D4-1-2/04地块出让国有建设用地使用权及在建建筑物房地产，为重庆核盛房地产开发有限公司所有。根据，估价对象（分摊）出让国有建设用地使用权面积为900.43平方米，建筑面积为3217.21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重庆市南岸区弹子石D4-1-1/04、D4-1-2/04地块出让国有建设用地使用权及在建建筑物房地产,属重庆核盛房地产开发有限公司开发建设的，该项目尚在开发建设中。根据，估价对象（分摊）出让国有建设用地使用权面积为900.43平方米，规划建筑面积为3217.21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为估价委托人在向中诚信托有限责任公司办理贷款手续过程中，确定房地产抵押贷款额度提供参考依据而评估房地产抵押价值。</v>
      </c>
    </row>
    <row r="12" spans="1:2" s="1591" customFormat="1">
      <c r="A12" s="1589" t="s">
        <v>1226</v>
      </c>
      <c r="B12" s="1590" t="str">
        <f>'预评函-1'!A15</f>
        <v>2018年3月26日（评估专业人员实地查勘之日）</v>
      </c>
    </row>
    <row r="13" spans="1:2" s="1591" customFormat="1">
      <c r="A13" s="1589" t="s">
        <v>1227</v>
      </c>
      <c r="B13" s="1590"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t="e">
        <f ca="1">'预评函-2'!D5</f>
        <v>#N/A</v>
      </c>
    </row>
    <row r="21" spans="1:2" s="1591" customFormat="1">
      <c r="A21" s="1589" t="s">
        <v>1235</v>
      </c>
      <c r="B21" s="1590" t="e">
        <f ca="1">'预评函-2'!D7</f>
        <v>#N/A</v>
      </c>
    </row>
    <row r="22" spans="1:2" s="1591" customFormat="1">
      <c r="A22" s="1589" t="s">
        <v>1236</v>
      </c>
      <c r="B22" s="1590" t="e">
        <f ca="1">'预评函-2'!D6</f>
        <v>#N/A</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v>
      </c>
    </row>
    <row r="30" spans="1:2" s="1591" customFormat="1">
      <c r="A30" s="1589" t="s">
        <v>1292</v>
      </c>
      <c r="B30" s="1590" t="str">
        <f>'预评函-2'!D13</f>
        <v>——</v>
      </c>
    </row>
    <row r="31" spans="1:2" s="1591" customFormat="1">
      <c r="A31" s="1589" t="s">
        <v>1274</v>
      </c>
      <c r="B31" s="1590" t="e">
        <f>'预评函-2'!D15</f>
        <v>#VALUE!</v>
      </c>
    </row>
    <row r="32" spans="1:2" s="1591" customFormat="1">
      <c r="A32" s="1589" t="s">
        <v>1241</v>
      </c>
      <c r="B32" s="1590" t="e">
        <f>'预评函-2'!D14</f>
        <v>#VALUE!</v>
      </c>
    </row>
    <row r="33" spans="1:2" s="1591" customFormat="1">
      <c r="A33" s="1589" t="s">
        <v>1276</v>
      </c>
      <c r="B33" s="1590" t="str">
        <f>'预评函-2'!B16</f>
        <v>3.抵押担保权已注销时的房地产抵押价值</v>
      </c>
    </row>
    <row r="34" spans="1:2" s="1591" customFormat="1">
      <c r="A34" s="1589" t="s">
        <v>1294</v>
      </c>
      <c r="B34" s="1590" t="e">
        <f ca="1">'预评函-2'!D16</f>
        <v>#N/A</v>
      </c>
    </row>
    <row r="35" spans="1:2" s="1591" customFormat="1">
      <c r="A35" s="1589" t="s">
        <v>1275</v>
      </c>
      <c r="B35" s="1590" t="e">
        <f ca="1">'预评函-2'!D18</f>
        <v>#N/A</v>
      </c>
    </row>
    <row r="36" spans="1:2" s="1591" customFormat="1">
      <c r="A36" s="1589" t="s">
        <v>1242</v>
      </c>
      <c r="B36" s="1590" t="e">
        <f ca="1">'预评函-2'!D17</f>
        <v>#N/A</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重庆市南岸区弹子石D4-1-1/04、D4-1-2/04地块出让国有建设用地使用权及在建建筑物房地产</v>
      </c>
    </row>
    <row r="42" spans="1:2" s="1591" customFormat="1">
      <c r="A42" s="1589" t="s">
        <v>1288</v>
      </c>
      <c r="B42" s="1590" t="str">
        <f>'预评函-3'!B2</f>
        <v>建筑面积</v>
      </c>
    </row>
    <row r="43" spans="1:2" s="1591" customFormat="1">
      <c r="A43" s="1589" t="s">
        <v>1289</v>
      </c>
      <c r="B43" s="1590">
        <f>'预评函-3'!B4</f>
        <v>3217.2100000000009</v>
      </c>
    </row>
    <row r="44" spans="1:2" s="1591" customFormat="1">
      <c r="A44" s="1589" t="s">
        <v>1273</v>
      </c>
      <c r="B44" s="1590" t="str">
        <f>'预评函-3'!C2</f>
        <v>(分摊)土地面积</v>
      </c>
    </row>
    <row r="45" spans="1:2" s="1591" customFormat="1">
      <c r="A45" s="1589" t="s">
        <v>1245</v>
      </c>
      <c r="B45" s="1590">
        <f>'预评函-3'!C4</f>
        <v>900.43</v>
      </c>
    </row>
    <row r="46" spans="1:2" s="1591" customFormat="1">
      <c r="A46" s="1589" t="s">
        <v>1271</v>
      </c>
      <c r="B46" s="1590" t="str">
        <f>'预评函-3'!D2</f>
        <v>出让国有建设用地使用权价值</v>
      </c>
    </row>
    <row r="47" spans="1:2" s="1591" customFormat="1">
      <c r="A47" s="1589" t="s">
        <v>1246</v>
      </c>
      <c r="B47" s="1590" t="e">
        <f ca="1">'预评函-3'!D4</f>
        <v>#N/A</v>
      </c>
    </row>
    <row r="48" spans="1:2" s="1591" customFormat="1">
      <c r="A48" s="1589" t="s">
        <v>1247</v>
      </c>
      <c r="B48" s="1590" t="e">
        <f ca="1">'预评函-3'!E4</f>
        <v>#N/A</v>
      </c>
    </row>
    <row r="49" spans="1:2" s="1591" customFormat="1">
      <c r="A49" s="1589" t="s">
        <v>1248</v>
      </c>
      <c r="B49" s="1590" t="e">
        <f ca="1">'预评函-3'!D5</f>
        <v>#N/A</v>
      </c>
    </row>
    <row r="50" spans="1:2" s="1591" customFormat="1">
      <c r="A50" s="1589" t="s">
        <v>1272</v>
      </c>
      <c r="B50" s="1590" t="str">
        <f>'预评函-3'!F2</f>
        <v>在建建筑物价值</v>
      </c>
    </row>
    <row r="51" spans="1:2" s="1591" customFormat="1">
      <c r="A51" s="1589" t="s">
        <v>1249</v>
      </c>
      <c r="B51" s="1590" t="e">
        <f ca="1">'预评函-3'!F4</f>
        <v>#N/A</v>
      </c>
    </row>
    <row r="52" spans="1:2" s="1591" customFormat="1">
      <c r="A52" s="1589" t="s">
        <v>1250</v>
      </c>
      <c r="B52" s="1590" t="e">
        <f ca="1">'预评函-3'!G4</f>
        <v>#N/A</v>
      </c>
    </row>
    <row r="53" spans="1:2" s="1591" customFormat="1">
      <c r="A53" s="1589" t="s">
        <v>1278</v>
      </c>
      <c r="B53" s="1590" t="e">
        <f ca="1">'预评函-3'!F5</f>
        <v>#N/A</v>
      </c>
    </row>
    <row r="54" spans="1:2" s="1591" customFormat="1">
      <c r="A54" s="1589" t="s">
        <v>1296</v>
      </c>
      <c r="B54" s="1590" t="str">
        <f>'预评函-3'!A8</f>
        <v/>
      </c>
    </row>
    <row r="55" spans="1:2" s="1591" customFormat="1">
      <c r="A55" s="1589" t="s">
        <v>1279</v>
      </c>
      <c r="B55" s="1590" t="str">
        <f>'预评函-3'!A10</f>
        <v>抵押担保权已注销时的房地产抵押价值</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757</v>
      </c>
      <c r="C17" s="2013"/>
    </row>
    <row r="18" spans="1:3">
      <c r="A18" s="2012" t="s">
        <v>1768</v>
      </c>
      <c r="B18" s="2012" t="s">
        <v>3185</v>
      </c>
      <c r="C18" s="2013"/>
    </row>
    <row r="19" spans="1:3">
      <c r="A19" s="2012" t="s">
        <v>1769</v>
      </c>
      <c r="B19" s="2012" t="s">
        <v>3188</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核盛房地产开发有限公司拟使用重庆市南岸区弹子石D4-1-1/04、D4-1-2/04地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54"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0" t="s">
        <v>864</v>
      </c>
      <c r="C54" s="2017" t="s">
        <v>1281</v>
      </c>
    </row>
    <row r="55" spans="1:4">
      <c r="A55" s="3054"/>
      <c r="B55" s="2020" t="s">
        <v>865</v>
      </c>
      <c r="C55" s="2017" t="s">
        <v>1282</v>
      </c>
    </row>
    <row r="56" spans="1:4">
      <c r="A56" s="3054"/>
      <c r="B56" s="2020" t="s">
        <v>866</v>
      </c>
      <c r="C56" s="2017" t="s">
        <v>1286</v>
      </c>
    </row>
    <row r="57" spans="1:4">
      <c r="A57" s="3054"/>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7" sqref="F7"/>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1777</v>
      </c>
      <c r="B1" s="3055" t="str">
        <f>IF(B10="北京市","北京市",C10)&amp;F10&amp;IF(结果表!G1="在建","出让国有建设用地使用权及在建建筑物",IF(结果表!G1="土地","出让国有建设用地使用权",))&amp;B9&amp;"预评估"</f>
        <v>重庆市南岸区弹子石D4-1-1/04、D4-1-2/04地块出让国有建设用地使用权及在建建筑物房地产抵押价值预评估</v>
      </c>
      <c r="C1" s="3056"/>
      <c r="D1" s="3056"/>
      <c r="E1" s="3056"/>
      <c r="F1" s="3056"/>
      <c r="G1" s="3056"/>
      <c r="H1" s="3056"/>
      <c r="I1" s="305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重庆市南岸区弹子石D4-1-1/04、D4-1-2/04地块出让国有建设用地使用权及在建建筑物房地产抵押价值</v>
      </c>
    </row>
    <row r="2" spans="1:19" ht="18" customHeight="1">
      <c r="A2" s="2024" t="s">
        <v>1778</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重庆市南岸区弹子石D4-1-1/04、D4-1-2/04地块出让国有建设用地使用权及在建建筑物房地产</v>
      </c>
    </row>
    <row r="3" spans="1:19" ht="18" customHeight="1">
      <c r="A3" s="2033" t="s">
        <v>1779</v>
      </c>
      <c r="B3" s="2034">
        <v>43185</v>
      </c>
      <c r="C3" s="2035" t="s">
        <v>1780</v>
      </c>
      <c r="D3" s="2034">
        <v>43185</v>
      </c>
      <c r="E3" s="2024"/>
      <c r="F3" s="2024"/>
      <c r="G3" s="2024"/>
      <c r="H3" s="2024"/>
      <c r="I3" s="2024"/>
      <c r="J3" s="2024"/>
      <c r="K3" s="2025"/>
      <c r="L3" s="2026"/>
      <c r="M3" s="2026"/>
      <c r="N3" s="2027"/>
      <c r="O3" s="2028"/>
      <c r="P3" s="2027"/>
      <c r="Q3" s="2027"/>
      <c r="R3" s="2027"/>
      <c r="S3" s="2029"/>
    </row>
    <row r="4" spans="1:19" ht="18" customHeight="1" thickBot="1">
      <c r="A4" s="2036" t="s">
        <v>1781</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1782</v>
      </c>
      <c r="B5" s="2935" t="s">
        <v>3046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36" t="s">
        <v>3045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937" t="s">
        <v>3046</v>
      </c>
      <c r="C7" s="2046"/>
      <c r="D7" s="2047"/>
      <c r="E7" s="2032"/>
      <c r="F7" s="2040"/>
      <c r="G7" s="2040"/>
      <c r="H7" s="2040"/>
      <c r="I7" s="2040"/>
      <c r="J7" s="2040"/>
      <c r="K7" s="2049"/>
      <c r="L7" s="2026"/>
      <c r="M7" s="2026"/>
      <c r="N7" s="2027"/>
      <c r="O7" s="2028"/>
      <c r="P7" s="2027"/>
      <c r="Q7" s="2027"/>
      <c r="R7" s="2027"/>
    </row>
    <row r="8" spans="1:19" ht="18" customHeight="1">
      <c r="A8" s="2045" t="s">
        <v>1785</v>
      </c>
      <c r="B8" s="2050" t="s">
        <v>3047</v>
      </c>
      <c r="C8" s="2051"/>
      <c r="D8" s="3058" t="s">
        <v>1786</v>
      </c>
      <c r="E8" s="2052" t="s">
        <v>3049</v>
      </c>
      <c r="F8" s="2053"/>
      <c r="G8" s="2024"/>
      <c r="H8" s="2024"/>
      <c r="I8" s="2024"/>
      <c r="J8" s="2040"/>
      <c r="K8" s="2041"/>
      <c r="L8" s="2026"/>
      <c r="M8" s="2026"/>
      <c r="N8" s="2027"/>
      <c r="O8" s="2028"/>
      <c r="P8" s="2027"/>
      <c r="Q8" s="2027"/>
      <c r="R8" s="2027"/>
    </row>
    <row r="9" spans="1:19" ht="18" customHeight="1" thickBot="1">
      <c r="A9" s="2038" t="s">
        <v>1787</v>
      </c>
      <c r="B9" s="2054" t="s">
        <v>3048</v>
      </c>
      <c r="C9" s="2055"/>
      <c r="D9" s="3059"/>
      <c r="E9" s="2054" t="s">
        <v>70</v>
      </c>
      <c r="F9" s="2056"/>
      <c r="G9" s="2057"/>
      <c r="H9" s="2057"/>
      <c r="I9" s="2057"/>
      <c r="J9" s="2040"/>
      <c r="K9" s="2049"/>
      <c r="L9" s="2026"/>
      <c r="M9" s="2026"/>
      <c r="N9" s="2027"/>
      <c r="O9" s="2028"/>
      <c r="P9" s="2027"/>
      <c r="Q9" s="2027"/>
      <c r="R9" s="2027"/>
    </row>
    <row r="10" spans="1:19" ht="18" customHeight="1" thickTop="1">
      <c r="A10" s="2058" t="s">
        <v>1788</v>
      </c>
      <c r="B10" s="2059" t="s">
        <v>3050</v>
      </c>
      <c r="C10" s="2938" t="s">
        <v>3053</v>
      </c>
      <c r="D10" s="2044"/>
      <c r="E10" s="2060" t="s">
        <v>1789</v>
      </c>
      <c r="F10" s="2061" t="s">
        <v>3054</v>
      </c>
      <c r="G10" s="2062"/>
      <c r="H10" s="2063"/>
      <c r="I10" s="2044"/>
      <c r="J10" s="2040"/>
      <c r="K10" s="2049"/>
      <c r="L10" s="2026"/>
      <c r="M10" s="2026"/>
      <c r="N10" s="2027"/>
      <c r="O10" s="2028"/>
      <c r="P10" s="2027"/>
      <c r="Q10" s="2027"/>
      <c r="R10" s="2027"/>
    </row>
    <row r="11" spans="1:19" ht="18" customHeight="1">
      <c r="A11" s="2064" t="s">
        <v>1790</v>
      </c>
      <c r="B11" s="2065" t="s">
        <v>3051</v>
      </c>
      <c r="C11" s="2066" t="str">
        <f>B7</f>
        <v>重庆核盛房地产开发有限公司</v>
      </c>
      <c r="D11" s="2067"/>
      <c r="E11" s="2040"/>
      <c r="F11" s="2040"/>
      <c r="G11" s="2040"/>
      <c r="H11" s="2040"/>
      <c r="I11" s="2040"/>
      <c r="J11" s="2040"/>
      <c r="K11" s="2049"/>
      <c r="L11" s="2026"/>
      <c r="M11" s="2026"/>
      <c r="N11" s="2027"/>
      <c r="O11" s="2028"/>
      <c r="P11" s="2027"/>
      <c r="Q11" s="2027"/>
      <c r="R11" s="2027"/>
    </row>
    <row r="12" spans="1:19" ht="18" customHeight="1">
      <c r="A12" s="2068" t="s">
        <v>1791</v>
      </c>
      <c r="B12" s="2065" t="s">
        <v>3056</v>
      </c>
      <c r="C12" s="2069" t="s">
        <v>1792</v>
      </c>
      <c r="D12" s="2070" t="s">
        <v>1793</v>
      </c>
      <c r="E12" s="2070" t="s">
        <v>1794</v>
      </c>
      <c r="F12" s="2070" t="s">
        <v>1795</v>
      </c>
      <c r="G12" s="2070" t="s">
        <v>1796</v>
      </c>
      <c r="H12" s="2070" t="s">
        <v>1797</v>
      </c>
      <c r="I12" s="2070" t="s">
        <v>1798</v>
      </c>
      <c r="J12" s="2040"/>
      <c r="K12" s="2049"/>
      <c r="L12" s="2026"/>
      <c r="M12" s="2026"/>
      <c r="N12" s="2027"/>
      <c r="O12" s="2028"/>
      <c r="P12" s="2027"/>
      <c r="Q12" s="2027"/>
      <c r="R12" s="2027"/>
    </row>
    <row r="13" spans="1:19" ht="18" customHeight="1">
      <c r="A13" s="2071"/>
      <c r="B13" s="2072"/>
      <c r="C13" s="2073" t="s">
        <v>1799</v>
      </c>
      <c r="D13" s="2074">
        <v>60143</v>
      </c>
      <c r="E13" s="2074">
        <v>56490</v>
      </c>
      <c r="F13" s="2074">
        <v>56490</v>
      </c>
      <c r="G13" s="2074"/>
      <c r="H13" s="2074"/>
      <c r="I13" s="1045"/>
      <c r="J13" s="2040"/>
      <c r="K13" s="2049"/>
      <c r="L13" s="2026"/>
      <c r="M13" s="2026"/>
      <c r="N13" s="2027"/>
      <c r="O13" s="2028"/>
      <c r="P13" s="2027"/>
      <c r="Q13" s="2027"/>
      <c r="R13" s="2027"/>
    </row>
    <row r="14" spans="1:19" ht="18" customHeight="1">
      <c r="A14" s="2071"/>
      <c r="B14" s="2072"/>
      <c r="C14" s="2073" t="s">
        <v>1800</v>
      </c>
      <c r="D14" s="1048">
        <v>50</v>
      </c>
      <c r="E14" s="1048">
        <v>40</v>
      </c>
      <c r="F14" s="1048">
        <v>40</v>
      </c>
      <c r="G14" s="1048"/>
      <c r="H14" s="1048"/>
      <c r="I14" s="1048"/>
      <c r="J14" s="2040"/>
      <c r="K14" s="2075"/>
      <c r="L14" s="2026"/>
      <c r="M14" s="2026"/>
      <c r="N14" s="2027"/>
      <c r="O14" s="2028"/>
      <c r="P14" s="2027"/>
      <c r="Q14" s="2027"/>
      <c r="R14" s="2027"/>
    </row>
    <row r="15" spans="1:19" ht="18" customHeight="1">
      <c r="A15" s="2058"/>
      <c r="B15" s="2076"/>
      <c r="C15" s="2073" t="s">
        <v>1801</v>
      </c>
      <c r="D15" s="1047">
        <f>IF(B12="出让",IF(D13="","",ROUNDDOWN(MIN((D13-$D$3)/365,D14),2)),D14)</f>
        <v>46.46</v>
      </c>
      <c r="E15" s="1047">
        <f>IF(B12="出让",IF(E13="","",ROUNDDOWN(MIN((E13-$D$3)/365,E14),2)),E14)</f>
        <v>36.450000000000003</v>
      </c>
      <c r="F15" s="1047">
        <f>IF(B12="出让",IF(F13="","",ROUNDDOWN(MIN((F13-$D$3)/365,F14),2)),F14)</f>
        <v>36.450000000000003</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0" t="s">
        <v>1802</v>
      </c>
      <c r="B16" s="3065"/>
      <c r="C16" s="3066"/>
      <c r="D16" s="3067"/>
      <c r="E16" s="2080" t="s">
        <v>1803</v>
      </c>
      <c r="F16" s="3068"/>
      <c r="G16" s="3069"/>
      <c r="H16" s="3069"/>
      <c r="I16" s="3070"/>
      <c r="J16" s="2027"/>
      <c r="K16" s="2077"/>
      <c r="L16" s="2078"/>
      <c r="M16" s="2078"/>
      <c r="N16" s="2079"/>
      <c r="O16" s="2078"/>
      <c r="P16" s="2079"/>
      <c r="Q16" s="2027"/>
      <c r="R16" s="2027"/>
    </row>
    <row r="17" spans="1:22" ht="18" customHeight="1">
      <c r="A17" s="2081" t="s">
        <v>1804</v>
      </c>
      <c r="B17" s="2033" t="s">
        <v>1805</v>
      </c>
      <c r="C17" s="1052">
        <f>'数据-汇总表'!E3</f>
        <v>3217.2100000000009</v>
      </c>
      <c r="D17" s="2082" t="s">
        <v>1806</v>
      </c>
      <c r="E17" s="3071" t="s">
        <v>3055</v>
      </c>
      <c r="F17" s="3072"/>
      <c r="G17" s="3072"/>
      <c r="H17" s="3072"/>
      <c r="I17" s="3073"/>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900.43</v>
      </c>
      <c r="D18" s="2085" t="s">
        <v>1806</v>
      </c>
      <c r="E18" s="3074"/>
      <c r="F18" s="3075"/>
      <c r="G18" s="3075"/>
      <c r="H18" s="3075"/>
      <c r="I18" s="3076"/>
      <c r="J18" s="2027"/>
      <c r="K18" s="2083"/>
      <c r="L18" s="2078"/>
      <c r="M18" s="2078"/>
      <c r="N18" s="2079"/>
      <c r="O18" s="2078"/>
      <c r="P18" s="2079"/>
      <c r="Q18" s="2027"/>
      <c r="R18" s="2027"/>
      <c r="S18" s="2027"/>
      <c r="T18" s="2027"/>
      <c r="U18" s="2027"/>
      <c r="V18" s="2027"/>
    </row>
    <row r="19" spans="1:22" ht="37.5" customHeight="1" thickTop="1" thickBot="1">
      <c r="A19" s="372" t="s">
        <v>1809</v>
      </c>
      <c r="B19" s="351" t="s">
        <v>1810</v>
      </c>
      <c r="C19" s="2086"/>
      <c r="D19" s="2087" t="s">
        <v>1811</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1812</v>
      </c>
      <c r="B20" s="3061" t="s">
        <v>1813</v>
      </c>
      <c r="C20" s="3062"/>
      <c r="D20" s="3063" t="s">
        <v>1814</v>
      </c>
      <c r="E20" s="3064"/>
      <c r="F20" s="2092" t="s">
        <v>1815</v>
      </c>
      <c r="G20" s="2040"/>
      <c r="H20" s="2040"/>
      <c r="I20" s="2040"/>
      <c r="J20" s="2040"/>
      <c r="K20" s="3060" t="s">
        <v>1816</v>
      </c>
      <c r="L20" s="746"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026"/>
      <c r="N20" s="2079"/>
      <c r="O20" s="2078"/>
      <c r="P20" s="2079"/>
      <c r="Q20" s="2027"/>
      <c r="R20" s="2027"/>
      <c r="S20" s="2027"/>
      <c r="T20" s="2027"/>
      <c r="U20" s="2027"/>
      <c r="V20" s="2027"/>
    </row>
    <row r="21" spans="1:22" ht="24.75" customHeight="1">
      <c r="A21" s="2091"/>
      <c r="B21" s="2093" t="s">
        <v>1817</v>
      </c>
      <c r="C21" s="2094"/>
      <c r="D21" s="2095" t="s">
        <v>1818</v>
      </c>
      <c r="E21" s="2096"/>
      <c r="F21" s="2097"/>
      <c r="G21" s="2040"/>
      <c r="H21" s="2040"/>
      <c r="I21" s="2040"/>
      <c r="J21" s="2040"/>
      <c r="K21" s="306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1819</v>
      </c>
      <c r="C22" s="2094"/>
      <c r="D22" s="2024"/>
      <c r="E22" s="2024"/>
      <c r="F22" s="2099"/>
      <c r="G22" s="2040"/>
      <c r="H22" s="2040"/>
      <c r="I22" s="2040"/>
      <c r="J22" s="2040"/>
      <c r="K22" s="306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1820</v>
      </c>
      <c r="B23" s="182" t="s">
        <v>1821</v>
      </c>
      <c r="C23" s="2101"/>
      <c r="D23" s="2102" t="s">
        <v>1821</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1822</v>
      </c>
      <c r="C24" s="2106"/>
      <c r="D24" s="2100" t="s">
        <v>1822</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1823</v>
      </c>
      <c r="C25" s="2106"/>
      <c r="D25" s="2100" t="s">
        <v>1823</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1824</v>
      </c>
      <c r="C26" s="2110"/>
      <c r="D26" s="2111" t="s">
        <v>1825</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8" t="s">
        <v>1826</v>
      </c>
      <c r="B27" s="2058" t="s">
        <v>1827</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8"/>
      <c r="B28" s="2033" t="s">
        <v>1828</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8"/>
      <c r="B29" s="2033" t="s">
        <v>1829</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9"/>
      <c r="B30" s="2033" t="s">
        <v>1830</v>
      </c>
      <c r="C30" s="3080"/>
      <c r="D30" s="3081"/>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82" t="s">
        <v>1831</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83"/>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83"/>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1832</v>
      </c>
      <c r="B34" s="2128"/>
      <c r="C34" s="2128"/>
      <c r="D34" s="2128"/>
      <c r="E34" s="2128"/>
      <c r="F34" s="2128"/>
      <c r="G34" s="2128"/>
      <c r="H34" s="2128"/>
      <c r="I34" s="2040"/>
      <c r="J34" s="2040"/>
      <c r="K34" s="1793">
        <f>COUNTIF(B34:H34,"——")</f>
        <v>0</v>
      </c>
      <c r="L34" s="2069" t="s">
        <v>1833</v>
      </c>
      <c r="M34" s="2069" t="s">
        <v>1834</v>
      </c>
      <c r="N34" s="2069" t="s">
        <v>1835</v>
      </c>
      <c r="O34" s="2069" t="s">
        <v>1836</v>
      </c>
      <c r="P34" s="2069" t="s">
        <v>1837</v>
      </c>
      <c r="Q34" s="2069" t="s">
        <v>1838</v>
      </c>
      <c r="R34" s="2069" t="s">
        <v>1839</v>
      </c>
      <c r="S34" s="3077" t="s">
        <v>1840</v>
      </c>
      <c r="T34" s="2129" t="str">
        <f>NUMBERSTRING(7-K34,1)&amp;"通"</f>
        <v>七通</v>
      </c>
      <c r="U34" s="2027"/>
      <c r="V34" s="2027"/>
    </row>
    <row r="35" spans="1:22" ht="18" customHeight="1">
      <c r="A35" s="2130"/>
      <c r="B35" s="3084" t="s">
        <v>1841</v>
      </c>
      <c r="C35" s="3084"/>
      <c r="D35" s="3084"/>
      <c r="E35" s="3084"/>
      <c r="F35" s="2131" t="str">
        <f>C10</f>
        <v>重庆市</v>
      </c>
      <c r="G35" s="2040"/>
      <c r="H35" s="2040"/>
      <c r="I35" s="2040"/>
      <c r="J35" s="2040"/>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77"/>
      <c r="T35" s="47" t="str">
        <f>IF(T34="一通",L35,IF(T34="二通",M35,IF(T34="三通",N35,IF(T34="四通",O35,IF(T34="五通",P35,IF(T34="六通",Q35,R35))))))</f>
        <v>、、、、、、</v>
      </c>
      <c r="U35" s="2027"/>
      <c r="V35" s="2027"/>
    </row>
    <row r="36" spans="1:22" ht="18" customHeight="1">
      <c r="A36" s="2132"/>
      <c r="B36" s="2131" t="s">
        <v>1842</v>
      </c>
      <c r="C36" s="2131" t="s">
        <v>1843</v>
      </c>
      <c r="D36" s="2131" t="s">
        <v>1844</v>
      </c>
      <c r="E36" s="2131" t="s">
        <v>1845</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1846</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1847</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4"/>
      <c r="L40" s="2078"/>
      <c r="M40" s="2078"/>
      <c r="N40" s="2079"/>
      <c r="O40" s="2078"/>
      <c r="P40" s="2027"/>
      <c r="Q40" s="2027"/>
      <c r="R40" s="2027"/>
      <c r="S40" s="2027"/>
      <c r="T40" s="2027"/>
      <c r="U40" s="2027"/>
      <c r="V40" s="2027"/>
    </row>
    <row r="41" spans="1:22" ht="18" customHeight="1">
      <c r="A41" s="8" t="s">
        <v>1849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1850</v>
      </c>
      <c r="B42" s="1793" t="s">
        <v>1851</v>
      </c>
      <c r="C42" s="1793" t="s">
        <v>1852</v>
      </c>
      <c r="D42" s="1793" t="s">
        <v>1853</v>
      </c>
      <c r="E42" s="1793" t="s">
        <v>1854</v>
      </c>
      <c r="F42" s="1793" t="s">
        <v>1855</v>
      </c>
      <c r="G42" s="1793" t="s">
        <v>1856</v>
      </c>
      <c r="H42" s="1793" t="s">
        <v>1857</v>
      </c>
      <c r="I42" s="1793" t="s">
        <v>1858</v>
      </c>
      <c r="J42" s="2147" t="s">
        <v>1859</v>
      </c>
      <c r="K42" s="2070" t="s">
        <v>1860</v>
      </c>
      <c r="L42" s="2070" t="s">
        <v>1861</v>
      </c>
      <c r="M42" s="2070" t="s">
        <v>1862</v>
      </c>
      <c r="N42" s="1793" t="s">
        <v>1863</v>
      </c>
      <c r="O42" s="1793" t="s">
        <v>1864</v>
      </c>
      <c r="P42" s="1793" t="s">
        <v>1865</v>
      </c>
      <c r="Q42" s="2069" t="s">
        <v>1866</v>
      </c>
      <c r="R42" s="2069" t="s">
        <v>1867</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hidden="1" customWidth="1"/>
    <col min="31" max="31" width="9.75" style="2154" hidden="1" customWidth="1"/>
    <col min="32" max="46" width="9.5" style="2154" hidden="1" customWidth="1"/>
    <col min="47" max="47" width="18.125" style="2154" hidden="1"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1870</v>
      </c>
      <c r="B2" s="11" t="s">
        <v>1871</v>
      </c>
      <c r="C2" s="11" t="s">
        <v>1872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1873</v>
      </c>
      <c r="AZ2" s="1268" t="s">
        <v>1874</v>
      </c>
      <c r="BA2" s="11" t="s">
        <v>1875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07">
        <f>(18487+49916)*'数据-汇总表'!E31/244402.1</f>
        <v>900.42931558280407</v>
      </c>
      <c r="B3" s="13">
        <f>IF(C3="否",G5-AT5,G5)</f>
        <v>3217.2100000000009</v>
      </c>
      <c r="C3" s="2163" t="s">
        <v>1876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1877</v>
      </c>
      <c r="B5" s="1801"/>
      <c r="C5" s="1801"/>
      <c r="D5" s="1804"/>
      <c r="E5" s="15" t="s">
        <v>1</v>
      </c>
      <c r="F5" s="15">
        <f>SUM(F13:F587)</f>
        <v>0</v>
      </c>
      <c r="G5" s="15">
        <f>SUM(G13:G587)</f>
        <v>3217.2100000000009</v>
      </c>
      <c r="H5" s="15">
        <f t="shared" ref="H5:AT5" si="0">SUM(H13:H656)</f>
        <v>3217.2100000000009</v>
      </c>
      <c r="I5" s="15">
        <f t="shared" si="0"/>
        <v>2154.4800000000009</v>
      </c>
      <c r="J5" s="15">
        <f t="shared" si="0"/>
        <v>0</v>
      </c>
      <c r="K5" s="15">
        <f t="shared" si="0"/>
        <v>0</v>
      </c>
      <c r="L5" s="15">
        <f t="shared" si="0"/>
        <v>0</v>
      </c>
      <c r="M5" s="15">
        <f t="shared" si="0"/>
        <v>1062.73</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1877</v>
      </c>
      <c r="AW5" s="1801"/>
      <c r="AX5" s="1801"/>
      <c r="AY5" s="16" t="s">
        <v>3</v>
      </c>
      <c r="AZ5" s="17">
        <f t="shared" ref="AZ5:BT5" si="1">SUM(AZ13:AZ656)</f>
        <v>3217.2100000000009</v>
      </c>
      <c r="BA5" s="17">
        <f t="shared" si="1"/>
        <v>3217.2100000000009</v>
      </c>
      <c r="BB5" s="17">
        <f t="shared" si="1"/>
        <v>2154.4800000000009</v>
      </c>
      <c r="BC5" s="17">
        <f t="shared" si="1"/>
        <v>0</v>
      </c>
      <c r="BD5" s="17">
        <f t="shared" si="1"/>
        <v>1062.73</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1878</v>
      </c>
      <c r="B6" s="2169"/>
      <c r="C6" s="2169"/>
      <c r="D6" s="2170"/>
      <c r="E6" s="15">
        <f>H6+AC6+AT6</f>
        <v>900.43000000000006</v>
      </c>
      <c r="F6" s="15" t="s">
        <v>1</v>
      </c>
      <c r="G6" s="15" t="s">
        <v>2</v>
      </c>
      <c r="H6" s="19">
        <f>SUMIF(I$12:AB$12,"总值",I6:AB6)</f>
        <v>900.43000000000006</v>
      </c>
      <c r="I6" s="15">
        <f t="shared" ref="I6:AB6" si="2">ROUND($A$3*I5/$B$3,2)</f>
        <v>602.99</v>
      </c>
      <c r="J6" s="15">
        <f t="shared" si="2"/>
        <v>0</v>
      </c>
      <c r="K6" s="15">
        <f t="shared" si="2"/>
        <v>0</v>
      </c>
      <c r="L6" s="15">
        <f t="shared" si="2"/>
        <v>0</v>
      </c>
      <c r="M6" s="15">
        <f t="shared" si="2"/>
        <v>297.44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1878</v>
      </c>
      <c r="AW6" s="2169"/>
      <c r="AX6" s="2169"/>
      <c r="AY6" s="20">
        <f>IF(AY3&gt;0,AY3,ROUND($A$3*AZ5/$B$3,2))</f>
        <v>900.43</v>
      </c>
      <c r="AZ6" s="15" t="s">
        <v>3</v>
      </c>
      <c r="BA6" s="15">
        <f>ROUND($AY$6*BA5/$AZ$5,2)</f>
        <v>900.43</v>
      </c>
      <c r="BB6" s="15">
        <f>ROUND($AY$6*BB5/$AZ$5,2)</f>
        <v>602.99</v>
      </c>
      <c r="BC6" s="15">
        <f t="shared" ref="BC6:BH6" si="4">ROUND($AY$6*BC5/$AZ$5,2)</f>
        <v>0</v>
      </c>
      <c r="BD6" s="15">
        <f t="shared" si="4"/>
        <v>297.44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2" t="s">
        <v>1887</v>
      </c>
      <c r="AW7" s="2161" t="s">
        <v>1888</v>
      </c>
      <c r="AX7" s="22"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79" t="s">
        <v>1892</v>
      </c>
      <c r="AD8" s="2183"/>
      <c r="AE8" s="2175"/>
      <c r="AF8" s="1816"/>
      <c r="AG8" s="1816"/>
      <c r="AH8" s="1816"/>
      <c r="AI8" s="1816"/>
      <c r="AJ8" s="1816"/>
      <c r="AK8" s="1816"/>
      <c r="AL8" s="1816"/>
      <c r="AM8" s="1816"/>
      <c r="AN8" s="1816"/>
      <c r="AO8" s="1816"/>
      <c r="AP8" s="1816"/>
      <c r="AQ8" s="1816"/>
      <c r="AR8" s="1816"/>
      <c r="AS8" s="1816"/>
      <c r="AT8" s="1290" t="s">
        <v>1893</v>
      </c>
      <c r="AU8" s="2177" t="s">
        <v>1894</v>
      </c>
      <c r="AV8" s="1290"/>
      <c r="AW8" s="2160"/>
      <c r="AX8" s="1290"/>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4" customFormat="1" ht="12.75">
      <c r="A9" s="2177"/>
      <c r="B9" s="2177"/>
      <c r="C9" s="2177"/>
      <c r="D9" s="2177"/>
      <c r="E9" s="2177"/>
      <c r="F9" s="2177"/>
      <c r="G9" s="1290"/>
      <c r="H9" s="2185" t="s">
        <v>1897</v>
      </c>
      <c r="I9" s="2186" t="s">
        <v>3100</v>
      </c>
      <c r="J9" s="979"/>
      <c r="K9" s="2186" t="s">
        <v>3100</v>
      </c>
      <c r="L9" s="979"/>
      <c r="M9" s="2186" t="s">
        <v>3100</v>
      </c>
      <c r="N9" s="979"/>
      <c r="O9" s="2186" t="s">
        <v>3160</v>
      </c>
      <c r="P9" s="979"/>
      <c r="Q9" s="2186"/>
      <c r="R9" s="979"/>
      <c r="S9" s="2186"/>
      <c r="T9" s="979"/>
      <c r="U9" s="2186"/>
      <c r="V9" s="979"/>
      <c r="W9" s="2186"/>
      <c r="X9" s="2187"/>
      <c r="Y9" s="2186"/>
      <c r="Z9" s="979"/>
      <c r="AA9" s="2186"/>
      <c r="AB9" s="979"/>
      <c r="AC9" s="2178" t="s">
        <v>1897</v>
      </c>
      <c r="AD9" s="14" t="s">
        <v>1898</v>
      </c>
      <c r="AE9" s="1296"/>
      <c r="AF9" s="14" t="s">
        <v>1899</v>
      </c>
      <c r="AG9" s="1296"/>
      <c r="AH9" s="14" t="s">
        <v>1898</v>
      </c>
      <c r="AI9" s="1296"/>
      <c r="AJ9" s="14" t="s">
        <v>1899</v>
      </c>
      <c r="AK9" s="1296"/>
      <c r="AL9" s="14" t="s">
        <v>1898</v>
      </c>
      <c r="AM9" s="1296"/>
      <c r="AN9" s="14" t="s">
        <v>1899</v>
      </c>
      <c r="AO9" s="1296"/>
      <c r="AP9" s="14" t="s">
        <v>1898</v>
      </c>
      <c r="AQ9" s="1296"/>
      <c r="AR9" s="14" t="s">
        <v>1899</v>
      </c>
      <c r="AS9" s="2188"/>
      <c r="AT9" s="2177"/>
      <c r="AU9" s="2177" t="s">
        <v>1900</v>
      </c>
      <c r="AV9" s="1290"/>
      <c r="AW9" s="2160"/>
      <c r="AX9" s="1290"/>
      <c r="AY9" s="27"/>
      <c r="AZ9" s="27" t="s">
        <v>1890</v>
      </c>
      <c r="BA9" s="2189" t="s">
        <v>1901</v>
      </c>
      <c r="BB9" s="2190"/>
      <c r="BC9" s="1336"/>
      <c r="BD9" s="1336"/>
      <c r="BE9" s="1336"/>
      <c r="BF9" s="1336"/>
      <c r="BG9" s="1336"/>
      <c r="BH9" s="1336"/>
      <c r="BI9" s="1336"/>
      <c r="BJ9" s="1336"/>
      <c r="BK9" s="2191"/>
      <c r="BL9" s="14" t="s">
        <v>1902</v>
      </c>
      <c r="BM9" s="1816"/>
      <c r="BN9" s="2180"/>
      <c r="BO9" s="1816"/>
      <c r="BP9" s="1816"/>
      <c r="BQ9" s="1816"/>
      <c r="BR9" s="1816"/>
      <c r="BS9" s="1816"/>
      <c r="BT9" s="25"/>
    </row>
    <row r="10" spans="1:72" s="2184" customFormat="1" ht="12.75">
      <c r="A10" s="2177"/>
      <c r="B10" s="2177"/>
      <c r="C10" s="2177"/>
      <c r="D10" s="2177"/>
      <c r="E10" s="2177"/>
      <c r="F10" s="2177"/>
      <c r="G10" s="1290"/>
      <c r="H10" s="27"/>
      <c r="I10" s="2186" t="s">
        <v>3101</v>
      </c>
      <c r="J10" s="979"/>
      <c r="K10" s="2192" t="s">
        <v>27</v>
      </c>
      <c r="L10" s="979"/>
      <c r="M10" s="2192" t="s">
        <v>1377</v>
      </c>
      <c r="N10" s="979"/>
      <c r="O10" s="2192" t="s">
        <v>1377</v>
      </c>
      <c r="P10" s="979"/>
      <c r="Q10" s="2192"/>
      <c r="R10" s="979"/>
      <c r="S10" s="2192"/>
      <c r="T10" s="979"/>
      <c r="U10" s="2192"/>
      <c r="V10" s="979"/>
      <c r="W10" s="2192"/>
      <c r="X10" s="979"/>
      <c r="Y10" s="2192"/>
      <c r="Z10" s="979"/>
      <c r="AA10" s="2192"/>
      <c r="AB10" s="979"/>
      <c r="AC10" s="1290"/>
      <c r="AD10" s="14" t="s">
        <v>1903</v>
      </c>
      <c r="AE10" s="2193"/>
      <c r="AF10" s="14" t="s">
        <v>1903</v>
      </c>
      <c r="AG10" s="2193"/>
      <c r="AH10" s="14" t="s">
        <v>1904</v>
      </c>
      <c r="AI10" s="2193"/>
      <c r="AJ10" s="14" t="s">
        <v>1904</v>
      </c>
      <c r="AK10" s="2193"/>
      <c r="AL10" s="14" t="s">
        <v>1905</v>
      </c>
      <c r="AM10" s="1296"/>
      <c r="AN10" s="14" t="s">
        <v>1905</v>
      </c>
      <c r="AO10" s="1296"/>
      <c r="AP10" s="14" t="s">
        <v>1906</v>
      </c>
      <c r="AQ10" s="1296"/>
      <c r="AR10" s="14" t="s">
        <v>1906</v>
      </c>
      <c r="AS10" s="1296"/>
      <c r="AT10" s="2177"/>
      <c r="AU10" s="2177"/>
      <c r="AV10" s="1290"/>
      <c r="AW10" s="2160"/>
      <c r="AX10" s="1290"/>
      <c r="AY10" s="27"/>
      <c r="AZ10" s="27"/>
      <c r="BA10" s="2194" t="s">
        <v>1897</v>
      </c>
      <c r="BB10" s="2195" t="str">
        <f>I9</f>
        <v>地上</v>
      </c>
      <c r="BC10" s="28" t="str">
        <f>K9</f>
        <v>地上</v>
      </c>
      <c r="BD10" s="28" t="str">
        <f>M9</f>
        <v>地上</v>
      </c>
      <c r="BE10" s="28" t="str">
        <f>O9</f>
        <v>地下</v>
      </c>
      <c r="BF10" s="28">
        <f>Q9</f>
        <v>0</v>
      </c>
      <c r="BG10" s="28">
        <f>S9</f>
        <v>0</v>
      </c>
      <c r="BH10" s="28">
        <f>U9</f>
        <v>0</v>
      </c>
      <c r="BI10" s="28">
        <f>W9</f>
        <v>0</v>
      </c>
      <c r="BJ10" s="28">
        <f>Y9</f>
        <v>0</v>
      </c>
      <c r="BK10" s="28">
        <f>AA9</f>
        <v>0</v>
      </c>
      <c r="BL10" s="24" t="s">
        <v>1897</v>
      </c>
      <c r="BM10" s="1815" t="str">
        <f>AD9</f>
        <v>地上</v>
      </c>
      <c r="BN10" s="28" t="str">
        <f>AF9</f>
        <v>地下</v>
      </c>
      <c r="BO10" s="1815" t="str">
        <f>AH9</f>
        <v>地上</v>
      </c>
      <c r="BP10" s="28" t="str">
        <f>AJ9</f>
        <v>地下</v>
      </c>
      <c r="BQ10" s="1815" t="str">
        <f>AL9</f>
        <v>地上</v>
      </c>
      <c r="BR10" s="28"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0"/>
      <c r="AW11" s="2160"/>
      <c r="AX11" s="1290"/>
      <c r="AY11" s="27"/>
      <c r="AZ11" s="27"/>
      <c r="BA11" s="27"/>
      <c r="BB11" s="2182" t="str">
        <f>I10</f>
        <v>住宅</v>
      </c>
      <c r="BC11" s="2182" t="str">
        <f>K10</f>
        <v>办公</v>
      </c>
      <c r="BD11" s="2182" t="str">
        <f>M10</f>
        <v>商业</v>
      </c>
      <c r="BE11" s="2182" t="str">
        <f>O10</f>
        <v>商业</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202" t="s">
        <v>1910</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1">
        <f>AR11</f>
        <v>0</v>
      </c>
    </row>
    <row r="13" spans="1:72" s="2162" customFormat="1" ht="12.75">
      <c r="A13" s="1270"/>
      <c r="B13" s="1270"/>
      <c r="C13" s="1270"/>
      <c r="D13" s="2208" t="s">
        <v>3099</v>
      </c>
      <c r="E13" s="15">
        <f>IF($C$3="是",ROUND($A$3*G13/$B$3,2),ROUND($A$3*(G13-AT13)/$B$3,2))</f>
        <v>900.43</v>
      </c>
      <c r="F13" s="31"/>
      <c r="G13" s="32">
        <f>H13+AC13+AT13</f>
        <v>3217.2100000000009</v>
      </c>
      <c r="H13" s="19">
        <f>SUMIF(I$12:AB$12,"总值",I13:AB13)</f>
        <v>3217.2100000000009</v>
      </c>
      <c r="I13" s="2209">
        <f>SUM(范围!I44:I93)</f>
        <v>2154.4800000000009</v>
      </c>
      <c r="J13" s="2209"/>
      <c r="K13" s="2209"/>
      <c r="L13" s="2209"/>
      <c r="M13" s="2209">
        <f>SUM(范围!I94:I108)</f>
        <v>1062.73</v>
      </c>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900.43</v>
      </c>
      <c r="AZ13" s="15">
        <f>BA13+BL13</f>
        <v>3217.2100000000009</v>
      </c>
      <c r="BA13" s="15">
        <f>SUM(BB13:BK13)</f>
        <v>3217.2100000000009</v>
      </c>
      <c r="BB13" s="15">
        <f>IF($D13="是",I13-J13,0)</f>
        <v>2154.4800000000009</v>
      </c>
      <c r="BC13" s="15">
        <f>IF($D13="是",K13-L13,0)</f>
        <v>0</v>
      </c>
      <c r="BD13" s="15">
        <f>IF($D13="是",M13-N13,0)</f>
        <v>1062.73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70"/>
      <c r="B14" s="2954"/>
      <c r="C14" s="2148"/>
      <c r="D14" s="2208" t="s">
        <v>3099</v>
      </c>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0"/>
      <c r="B15" s="1270"/>
      <c r="C15" s="2148"/>
      <c r="D15" s="2208" t="s">
        <v>3099</v>
      </c>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0"/>
      <c r="B16" s="1270"/>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0"/>
      <c r="B17" s="1270"/>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N108"/>
  <sheetViews>
    <sheetView topLeftCell="A4" workbookViewId="0">
      <selection activeCell="L27" sqref="L27"/>
    </sheetView>
  </sheetViews>
  <sheetFormatPr defaultRowHeight="13.5"/>
  <cols>
    <col min="5" max="5" width="24" bestFit="1" customWidth="1"/>
  </cols>
  <sheetData>
    <row r="8" spans="4:8" ht="16.5">
      <c r="D8" s="2939" t="s">
        <v>3057</v>
      </c>
      <c r="E8" s="2939" t="s">
        <v>3058</v>
      </c>
      <c r="F8" s="2940" t="s">
        <v>3059</v>
      </c>
      <c r="G8" s="2939" t="s">
        <v>3060</v>
      </c>
      <c r="H8" s="2940" t="s">
        <v>3061</v>
      </c>
    </row>
    <row r="9" spans="4:8" ht="16.5">
      <c r="D9" s="3087" t="s">
        <v>3062</v>
      </c>
      <c r="E9" s="2941" t="s">
        <v>3063</v>
      </c>
      <c r="F9" s="2941">
        <v>469</v>
      </c>
      <c r="G9" s="2941">
        <v>38110.15</v>
      </c>
      <c r="H9" s="2942" t="s">
        <v>3064</v>
      </c>
    </row>
    <row r="10" spans="4:8" ht="16.5">
      <c r="D10" s="3087"/>
      <c r="E10" s="2941" t="s">
        <v>3065</v>
      </c>
      <c r="F10" s="2941">
        <v>191</v>
      </c>
      <c r="G10" s="2941">
        <v>19749.89</v>
      </c>
      <c r="H10" s="2942" t="s">
        <v>3064</v>
      </c>
    </row>
    <row r="11" spans="4:8" ht="16.5">
      <c r="D11" s="3087"/>
      <c r="E11" s="2941" t="s">
        <v>3066</v>
      </c>
      <c r="F11" s="2941">
        <v>181</v>
      </c>
      <c r="G11" s="2941">
        <v>18791.03</v>
      </c>
      <c r="H11" s="2942" t="s">
        <v>3064</v>
      </c>
    </row>
    <row r="12" spans="4:8" ht="16.5">
      <c r="D12" s="3087" t="s">
        <v>3067</v>
      </c>
      <c r="E12" s="2941" t="s">
        <v>3068</v>
      </c>
      <c r="F12" s="2941">
        <v>560</v>
      </c>
      <c r="G12" s="2941">
        <v>24013.919999999998</v>
      </c>
      <c r="H12" s="2942" t="s">
        <v>3069</v>
      </c>
    </row>
    <row r="13" spans="4:8" ht="16.5">
      <c r="D13" s="3087"/>
      <c r="E13" s="2941" t="s">
        <v>3070</v>
      </c>
      <c r="F13" s="2941">
        <v>255</v>
      </c>
      <c r="G13" s="2941">
        <v>20348.75</v>
      </c>
      <c r="H13" s="2942" t="s">
        <v>3064</v>
      </c>
    </row>
    <row r="14" spans="4:8" ht="16.5">
      <c r="D14" s="3087"/>
      <c r="E14" s="2941" t="s">
        <v>3071</v>
      </c>
      <c r="F14" s="2941">
        <v>255</v>
      </c>
      <c r="G14" s="2941">
        <v>20435.79</v>
      </c>
      <c r="H14" s="2942" t="s">
        <v>3064</v>
      </c>
    </row>
    <row r="15" spans="4:8" ht="16.5">
      <c r="D15" s="2943"/>
      <c r="E15" s="2944" t="s">
        <v>3072</v>
      </c>
      <c r="F15" s="2944">
        <f>SUM(F9:F14)</f>
        <v>1911</v>
      </c>
      <c r="G15" s="2944">
        <f>SUM(G9:G14)</f>
        <v>141449.53</v>
      </c>
      <c r="H15" s="2945"/>
    </row>
    <row r="16" spans="4:8" ht="16.5">
      <c r="D16" s="2946" t="s">
        <v>3062</v>
      </c>
      <c r="E16" s="2947" t="s">
        <v>3073</v>
      </c>
      <c r="F16" s="2947">
        <v>52</v>
      </c>
      <c r="G16" s="2947">
        <v>2792.64</v>
      </c>
      <c r="H16" s="2942" t="s">
        <v>3074</v>
      </c>
    </row>
    <row r="17" spans="4:8" ht="16.5">
      <c r="D17" s="2948"/>
      <c r="E17" s="2944" t="s">
        <v>3075</v>
      </c>
      <c r="F17" s="2944">
        <v>52</v>
      </c>
      <c r="G17" s="2944">
        <f>G16</f>
        <v>2792.64</v>
      </c>
      <c r="H17" s="2945"/>
    </row>
    <row r="18" spans="4:8" ht="16.5">
      <c r="D18" s="2949"/>
      <c r="E18" s="2950" t="s">
        <v>3076</v>
      </c>
      <c r="F18" s="2950">
        <f>F15+F17</f>
        <v>1963</v>
      </c>
      <c r="G18" s="2950">
        <f>G15+G17</f>
        <v>144242.17000000001</v>
      </c>
      <c r="H18" s="2951"/>
    </row>
    <row r="19" spans="4:8" ht="16.5">
      <c r="D19" s="2952"/>
      <c r="E19" s="2953"/>
      <c r="F19" s="2953"/>
      <c r="G19" s="2953"/>
      <c r="H19" s="2953"/>
    </row>
    <row r="20" spans="4:8" ht="16.5">
      <c r="D20" s="2939" t="s">
        <v>3077</v>
      </c>
      <c r="E20" s="2939" t="s">
        <v>3078</v>
      </c>
      <c r="F20" s="2939"/>
      <c r="G20" s="2939" t="s">
        <v>3079</v>
      </c>
      <c r="H20" s="2940" t="s">
        <v>3080</v>
      </c>
    </row>
    <row r="21" spans="4:8" ht="16.5">
      <c r="D21" s="2949" t="s">
        <v>3081</v>
      </c>
      <c r="E21" s="2941" t="s">
        <v>3082</v>
      </c>
      <c r="F21" s="2941"/>
      <c r="G21" s="2941">
        <v>24215.420000000002</v>
      </c>
      <c r="H21" s="2942" t="s">
        <v>3083</v>
      </c>
    </row>
    <row r="22" spans="4:8" ht="16.5">
      <c r="D22" s="2948"/>
      <c r="E22" s="2944" t="s">
        <v>3084</v>
      </c>
      <c r="F22" s="2944"/>
      <c r="G22" s="2944">
        <f>G21</f>
        <v>24215.420000000002</v>
      </c>
      <c r="H22" s="2945"/>
    </row>
    <row r="23" spans="4:8" ht="16.5">
      <c r="D23" s="3088" t="s">
        <v>3062</v>
      </c>
      <c r="E23" s="2941" t="s">
        <v>3085</v>
      </c>
      <c r="F23" s="2941"/>
      <c r="G23" s="2941">
        <v>13266.110000000002</v>
      </c>
      <c r="H23" s="2942" t="s">
        <v>3086</v>
      </c>
    </row>
    <row r="24" spans="4:8" ht="16.5">
      <c r="D24" s="3089"/>
      <c r="E24" s="2941" t="s">
        <v>3087</v>
      </c>
      <c r="F24" s="2941"/>
      <c r="G24" s="2941">
        <v>2797.31</v>
      </c>
      <c r="H24" s="2942" t="s">
        <v>3088</v>
      </c>
    </row>
    <row r="25" spans="4:8" ht="16.5">
      <c r="D25" s="3089"/>
      <c r="E25" s="2941" t="s">
        <v>3089</v>
      </c>
      <c r="F25" s="2941"/>
      <c r="G25" s="2941">
        <v>1381.3</v>
      </c>
      <c r="H25" s="2942" t="s">
        <v>3074</v>
      </c>
    </row>
    <row r="26" spans="4:8" ht="16.5">
      <c r="D26" s="3089"/>
      <c r="E26" s="2941" t="s">
        <v>3090</v>
      </c>
      <c r="F26" s="2941"/>
      <c r="G26" s="2941">
        <v>2110.46</v>
      </c>
      <c r="H26" s="2942" t="s">
        <v>3074</v>
      </c>
    </row>
    <row r="27" spans="4:8" ht="16.5">
      <c r="D27" s="3089"/>
      <c r="E27" s="2941" t="s">
        <v>3091</v>
      </c>
      <c r="F27" s="2941"/>
      <c r="G27" s="2941">
        <v>4182.87</v>
      </c>
      <c r="H27" s="2942" t="s">
        <v>3074</v>
      </c>
    </row>
    <row r="28" spans="4:8" ht="16.5">
      <c r="D28" s="3089"/>
      <c r="E28" s="2941" t="s">
        <v>3092</v>
      </c>
      <c r="F28" s="2941"/>
      <c r="G28" s="2941">
        <v>3076.5</v>
      </c>
      <c r="H28" s="2942" t="s">
        <v>3074</v>
      </c>
    </row>
    <row r="29" spans="4:8" ht="16.5">
      <c r="D29" s="3089"/>
      <c r="E29" s="2941" t="s">
        <v>3093</v>
      </c>
      <c r="F29" s="2941"/>
      <c r="G29" s="2941">
        <v>3312.65</v>
      </c>
      <c r="H29" s="2942" t="s">
        <v>3074</v>
      </c>
    </row>
    <row r="30" spans="4:8" ht="16.5">
      <c r="D30" s="3089"/>
      <c r="E30" s="2941" t="s">
        <v>3094</v>
      </c>
      <c r="F30" s="2941"/>
      <c r="G30" s="2941">
        <v>1782.1100000000001</v>
      </c>
      <c r="H30" s="2942" t="s">
        <v>3074</v>
      </c>
    </row>
    <row r="31" spans="4:8" ht="16.5">
      <c r="D31" s="3089"/>
      <c r="E31" s="2941" t="s">
        <v>3095</v>
      </c>
      <c r="F31" s="2941"/>
      <c r="G31" s="2941">
        <v>1900.4</v>
      </c>
      <c r="H31" s="2942" t="s">
        <v>3074</v>
      </c>
    </row>
    <row r="32" spans="4:8" ht="16.5">
      <c r="D32" s="3089"/>
      <c r="E32" s="2941" t="s">
        <v>3096</v>
      </c>
      <c r="F32" s="2941"/>
      <c r="G32" s="2941">
        <v>2055.21</v>
      </c>
      <c r="H32" s="2942" t="s">
        <v>3074</v>
      </c>
    </row>
    <row r="33" spans="4:14" ht="16.5">
      <c r="D33" s="3089"/>
      <c r="E33" s="2941" t="s">
        <v>3097</v>
      </c>
      <c r="F33" s="2941"/>
      <c r="G33" s="2941">
        <v>5719.86</v>
      </c>
      <c r="H33" s="2942" t="s">
        <v>3074</v>
      </c>
    </row>
    <row r="34" spans="4:14" ht="16.5">
      <c r="D34" s="3090"/>
      <c r="E34" s="2941" t="s">
        <v>3098</v>
      </c>
      <c r="F34" s="2941"/>
      <c r="G34" s="2941">
        <v>19971.59</v>
      </c>
      <c r="H34" s="2942" t="s">
        <v>3074</v>
      </c>
    </row>
    <row r="35" spans="4:14" ht="16.5">
      <c r="D35" s="2948"/>
      <c r="E35" s="2944" t="s">
        <v>3075</v>
      </c>
      <c r="F35" s="2944"/>
      <c r="G35" s="2944">
        <f>SUM(G23:G34)</f>
        <v>61556.369999999995</v>
      </c>
      <c r="H35" s="2945"/>
    </row>
    <row r="36" spans="4:14" ht="16.5">
      <c r="D36" s="2949"/>
      <c r="E36" s="2950" t="s">
        <v>3076</v>
      </c>
      <c r="F36" s="2950"/>
      <c r="G36" s="2950">
        <f>G22+G35</f>
        <v>85771.79</v>
      </c>
      <c r="H36" s="2951"/>
    </row>
    <row r="42" spans="4:14" ht="18.75">
      <c r="D42" s="3091" t="s">
        <v>3206</v>
      </c>
      <c r="E42" s="3091"/>
      <c r="F42" s="3091"/>
      <c r="G42" s="3091"/>
      <c r="H42" s="3091"/>
      <c r="I42" s="3091"/>
      <c r="J42" s="3091"/>
      <c r="K42" s="3091"/>
      <c r="L42" s="3091"/>
      <c r="M42" s="3091"/>
      <c r="N42" s="3091"/>
    </row>
    <row r="43" spans="4:14">
      <c r="D43" s="2981" t="s">
        <v>3207</v>
      </c>
      <c r="E43" s="2982" t="s">
        <v>3208</v>
      </c>
      <c r="F43" s="2982" t="s">
        <v>3209</v>
      </c>
      <c r="G43" s="2982" t="s">
        <v>3210</v>
      </c>
      <c r="H43" s="2982" t="s">
        <v>3211</v>
      </c>
      <c r="I43" s="2983" t="s">
        <v>3212</v>
      </c>
      <c r="J43" s="2983" t="s">
        <v>3213</v>
      </c>
      <c r="K43" s="2983" t="s">
        <v>3214</v>
      </c>
      <c r="L43" s="2983" t="s">
        <v>3215</v>
      </c>
      <c r="M43" s="2983" t="s">
        <v>3216</v>
      </c>
      <c r="N43" s="2983" t="s">
        <v>3217</v>
      </c>
    </row>
    <row r="44" spans="4:14">
      <c r="D44" s="2984" t="s">
        <v>3218</v>
      </c>
      <c r="E44" s="2982" t="s">
        <v>3219</v>
      </c>
      <c r="F44" s="2982" t="s">
        <v>3218</v>
      </c>
      <c r="G44" s="2982" t="s">
        <v>3220</v>
      </c>
      <c r="H44" s="2982">
        <v>3</v>
      </c>
      <c r="I44" s="2983">
        <v>86.86</v>
      </c>
      <c r="J44" s="2983">
        <v>69.05</v>
      </c>
      <c r="K44" s="2983">
        <f t="shared" ref="K44:K107" si="0">M44/I44</f>
        <v>9697.847110292425</v>
      </c>
      <c r="L44" s="2983">
        <f t="shared" ref="L44:L107" si="1">M44/J44</f>
        <v>12199.203475742217</v>
      </c>
      <c r="M44" s="2985">
        <v>842355</v>
      </c>
      <c r="N44" s="2983" t="s">
        <v>3221</v>
      </c>
    </row>
    <row r="45" spans="4:14">
      <c r="D45" s="2986" t="s">
        <v>3222</v>
      </c>
      <c r="E45" s="2982" t="s">
        <v>3219</v>
      </c>
      <c r="F45" s="2982" t="s">
        <v>3218</v>
      </c>
      <c r="G45" s="2982" t="s">
        <v>3220</v>
      </c>
      <c r="H45" s="2982">
        <v>4</v>
      </c>
      <c r="I45" s="2983">
        <v>73.319999999999993</v>
      </c>
      <c r="J45" s="2983">
        <v>58.29</v>
      </c>
      <c r="K45" s="2983">
        <f t="shared" si="0"/>
        <v>8927.3049645390074</v>
      </c>
      <c r="L45" s="2983">
        <f t="shared" si="1"/>
        <v>11229.198833419112</v>
      </c>
      <c r="M45" s="2985">
        <v>654550</v>
      </c>
      <c r="N45" s="2983" t="s">
        <v>3221</v>
      </c>
    </row>
    <row r="46" spans="4:14">
      <c r="D46" s="2984" t="s">
        <v>3220</v>
      </c>
      <c r="E46" s="2985" t="s">
        <v>3223</v>
      </c>
      <c r="F46" s="2987">
        <v>2</v>
      </c>
      <c r="G46" s="2988">
        <v>3</v>
      </c>
      <c r="H46" s="2984">
        <v>1</v>
      </c>
      <c r="I46" s="2983">
        <v>44.33</v>
      </c>
      <c r="J46" s="2983">
        <v>35.520000000000003</v>
      </c>
      <c r="K46" s="2983">
        <f t="shared" si="0"/>
        <v>12725.693661177533</v>
      </c>
      <c r="L46" s="2983">
        <f t="shared" si="1"/>
        <v>15882.038288288288</v>
      </c>
      <c r="M46" s="2985">
        <v>564130</v>
      </c>
      <c r="N46" s="2983"/>
    </row>
    <row r="47" spans="4:14">
      <c r="D47" s="2986" t="s">
        <v>3224</v>
      </c>
      <c r="E47" s="2985" t="s">
        <v>3223</v>
      </c>
      <c r="F47" s="2987">
        <v>2</v>
      </c>
      <c r="G47" s="2988">
        <v>3</v>
      </c>
      <c r="H47" s="2988">
        <v>5</v>
      </c>
      <c r="I47" s="2983">
        <v>32.409999999999997</v>
      </c>
      <c r="J47" s="2983">
        <v>25.97</v>
      </c>
      <c r="K47" s="2983">
        <f t="shared" si="0"/>
        <v>12963.653193458811</v>
      </c>
      <c r="L47" s="2983">
        <f t="shared" si="1"/>
        <v>16178.359645745091</v>
      </c>
      <c r="M47" s="2985">
        <v>420152</v>
      </c>
      <c r="N47" s="2983"/>
    </row>
    <row r="48" spans="4:14">
      <c r="D48" s="2984" t="s">
        <v>3225</v>
      </c>
      <c r="E48" s="2985" t="s">
        <v>3223</v>
      </c>
      <c r="F48" s="2987">
        <v>2</v>
      </c>
      <c r="G48" s="2988">
        <v>4</v>
      </c>
      <c r="H48" s="2988">
        <v>1</v>
      </c>
      <c r="I48" s="2983">
        <v>44.33</v>
      </c>
      <c r="J48" s="2983">
        <v>35.520000000000003</v>
      </c>
      <c r="K48" s="2983">
        <f t="shared" si="0"/>
        <v>12693.548387096775</v>
      </c>
      <c r="L48" s="2983">
        <f t="shared" si="1"/>
        <v>15841.920045045044</v>
      </c>
      <c r="M48" s="2985">
        <v>562705</v>
      </c>
      <c r="N48" s="2983"/>
    </row>
    <row r="49" spans="4:14">
      <c r="D49" s="2986" t="s">
        <v>3226</v>
      </c>
      <c r="E49" s="2985" t="s">
        <v>3223</v>
      </c>
      <c r="F49" s="2987">
        <v>2</v>
      </c>
      <c r="G49" s="2988">
        <v>4</v>
      </c>
      <c r="H49" s="2988">
        <v>4</v>
      </c>
      <c r="I49" s="2983">
        <v>32.409999999999997</v>
      </c>
      <c r="J49" s="2983">
        <v>25.97</v>
      </c>
      <c r="K49" s="2983">
        <f t="shared" si="0"/>
        <v>12929.126812712128</v>
      </c>
      <c r="L49" s="2983">
        <f t="shared" si="1"/>
        <v>16135.271467077398</v>
      </c>
      <c r="M49" s="2985">
        <v>419033</v>
      </c>
      <c r="N49" s="2983"/>
    </row>
    <row r="50" spans="4:14" ht="22.5">
      <c r="D50" s="2984" t="s">
        <v>3227</v>
      </c>
      <c r="E50" s="2985" t="s">
        <v>3223</v>
      </c>
      <c r="F50" s="2987">
        <v>2</v>
      </c>
      <c r="G50" s="2988">
        <v>4</v>
      </c>
      <c r="H50" s="2988">
        <v>9</v>
      </c>
      <c r="I50" s="2983">
        <v>73.75</v>
      </c>
      <c r="J50" s="2983">
        <v>59.09</v>
      </c>
      <c r="K50" s="2983">
        <f t="shared" si="0"/>
        <v>12298.318644067796</v>
      </c>
      <c r="L50" s="2983">
        <f t="shared" si="1"/>
        <v>15349.483838212895</v>
      </c>
      <c r="M50" s="2985">
        <v>907001</v>
      </c>
      <c r="N50" s="2983" t="s">
        <v>3228</v>
      </c>
    </row>
    <row r="51" spans="4:14">
      <c r="D51" s="2986" t="s">
        <v>3229</v>
      </c>
      <c r="E51" s="2985" t="s">
        <v>3223</v>
      </c>
      <c r="F51" s="2987">
        <v>2</v>
      </c>
      <c r="G51" s="2988">
        <v>4</v>
      </c>
      <c r="H51" s="2988">
        <v>10</v>
      </c>
      <c r="I51" s="2983">
        <v>42.33</v>
      </c>
      <c r="J51" s="2983">
        <v>33.92</v>
      </c>
      <c r="K51" s="2983">
        <f t="shared" si="0"/>
        <v>12835.010630758328</v>
      </c>
      <c r="L51" s="2983">
        <f t="shared" si="1"/>
        <v>16017.275943396226</v>
      </c>
      <c r="M51" s="2985">
        <v>543306</v>
      </c>
      <c r="N51" s="2983"/>
    </row>
    <row r="52" spans="4:14">
      <c r="D52" s="2984" t="s">
        <v>3230</v>
      </c>
      <c r="E52" s="2985" t="s">
        <v>3223</v>
      </c>
      <c r="F52" s="2987">
        <v>2</v>
      </c>
      <c r="G52" s="2988">
        <v>4</v>
      </c>
      <c r="H52" s="2988">
        <v>20</v>
      </c>
      <c r="I52" s="2983">
        <v>44.33</v>
      </c>
      <c r="J52" s="2983">
        <v>35.520000000000003</v>
      </c>
      <c r="K52" s="2983">
        <f t="shared" si="0"/>
        <v>12693.548387096775</v>
      </c>
      <c r="L52" s="2983">
        <f t="shared" si="1"/>
        <v>15841.920045045044</v>
      </c>
      <c r="M52" s="2985">
        <v>562705</v>
      </c>
      <c r="N52" s="2983"/>
    </row>
    <row r="53" spans="4:14">
      <c r="D53" s="2986" t="s">
        <v>3231</v>
      </c>
      <c r="E53" s="2985" t="s">
        <v>3223</v>
      </c>
      <c r="F53" s="2987">
        <v>2</v>
      </c>
      <c r="G53" s="2988">
        <v>5</v>
      </c>
      <c r="H53" s="2988">
        <v>1</v>
      </c>
      <c r="I53" s="2983">
        <v>44.33</v>
      </c>
      <c r="J53" s="2983">
        <v>35.520000000000003</v>
      </c>
      <c r="K53" s="2983">
        <f t="shared" si="0"/>
        <v>12728.919467629146</v>
      </c>
      <c r="L53" s="2983">
        <f t="shared" si="1"/>
        <v>15886.064189189188</v>
      </c>
      <c r="M53" s="2985">
        <v>564273</v>
      </c>
      <c r="N53" s="2983"/>
    </row>
    <row r="54" spans="4:14" ht="22.5">
      <c r="D54" s="2984" t="s">
        <v>3232</v>
      </c>
      <c r="E54" s="2985" t="s">
        <v>3223</v>
      </c>
      <c r="F54" s="2987">
        <v>2</v>
      </c>
      <c r="G54" s="2988">
        <v>5</v>
      </c>
      <c r="H54" s="2988">
        <v>10</v>
      </c>
      <c r="I54" s="2983">
        <v>42.33</v>
      </c>
      <c r="J54" s="2983">
        <v>33.92</v>
      </c>
      <c r="K54" s="2983">
        <f t="shared" si="0"/>
        <v>12872.501771793055</v>
      </c>
      <c r="L54" s="2983">
        <f t="shared" si="1"/>
        <v>16064.0625</v>
      </c>
      <c r="M54" s="2985">
        <v>544893</v>
      </c>
      <c r="N54" s="2983" t="s">
        <v>3233</v>
      </c>
    </row>
    <row r="55" spans="4:14" ht="22.5">
      <c r="D55" s="2986" t="s">
        <v>3234</v>
      </c>
      <c r="E55" s="2985" t="s">
        <v>3223</v>
      </c>
      <c r="F55" s="2987">
        <v>2</v>
      </c>
      <c r="G55" s="2988">
        <v>5</v>
      </c>
      <c r="H55" s="2988">
        <v>11</v>
      </c>
      <c r="I55" s="2983">
        <v>42.73</v>
      </c>
      <c r="J55" s="2983">
        <v>34.24</v>
      </c>
      <c r="K55" s="2983">
        <f t="shared" si="0"/>
        <v>12867.891411186522</v>
      </c>
      <c r="L55" s="2983">
        <f t="shared" si="1"/>
        <v>16058.557242990653</v>
      </c>
      <c r="M55" s="2985">
        <v>549845</v>
      </c>
      <c r="N55" s="2983" t="s">
        <v>3233</v>
      </c>
    </row>
    <row r="56" spans="4:14">
      <c r="D56" s="2984" t="s">
        <v>3235</v>
      </c>
      <c r="E56" s="2985" t="s">
        <v>3223</v>
      </c>
      <c r="F56" s="2987">
        <v>2</v>
      </c>
      <c r="G56" s="2988">
        <v>5</v>
      </c>
      <c r="H56" s="2988">
        <v>20</v>
      </c>
      <c r="I56" s="2983">
        <v>44.33</v>
      </c>
      <c r="J56" s="2983">
        <v>35.520000000000003</v>
      </c>
      <c r="K56" s="2983">
        <f t="shared" si="0"/>
        <v>12728.919467629146</v>
      </c>
      <c r="L56" s="2983">
        <f t="shared" si="1"/>
        <v>15886.064189189188</v>
      </c>
      <c r="M56" s="2985">
        <v>564273</v>
      </c>
      <c r="N56" s="2983"/>
    </row>
    <row r="57" spans="4:14" ht="22.5">
      <c r="D57" s="2986" t="s">
        <v>3236</v>
      </c>
      <c r="E57" s="2985" t="s">
        <v>3223</v>
      </c>
      <c r="F57" s="2987">
        <v>2</v>
      </c>
      <c r="G57" s="2988">
        <v>6</v>
      </c>
      <c r="H57" s="2988">
        <v>9</v>
      </c>
      <c r="I57" s="2983">
        <v>73.75</v>
      </c>
      <c r="J57" s="2983">
        <v>59.09</v>
      </c>
      <c r="K57" s="2983">
        <f t="shared" si="0"/>
        <v>12336.881355932202</v>
      </c>
      <c r="L57" s="2983">
        <f t="shared" si="1"/>
        <v>15397.613809443221</v>
      </c>
      <c r="M57" s="2985">
        <v>909845</v>
      </c>
      <c r="N57" s="2983" t="s">
        <v>3228</v>
      </c>
    </row>
    <row r="58" spans="4:14" ht="22.5">
      <c r="D58" s="2984" t="s">
        <v>3237</v>
      </c>
      <c r="E58" s="2985" t="s">
        <v>3223</v>
      </c>
      <c r="F58" s="2987">
        <v>2</v>
      </c>
      <c r="G58" s="2988">
        <v>8</v>
      </c>
      <c r="H58" s="2988">
        <v>10</v>
      </c>
      <c r="I58" s="2983">
        <v>42.33</v>
      </c>
      <c r="J58" s="2983">
        <v>33.92</v>
      </c>
      <c r="K58" s="2983">
        <f t="shared" si="0"/>
        <v>12872.501771793055</v>
      </c>
      <c r="L58" s="2983">
        <f t="shared" si="1"/>
        <v>16064.0625</v>
      </c>
      <c r="M58" s="2985">
        <v>544893</v>
      </c>
      <c r="N58" s="2983" t="s">
        <v>3233</v>
      </c>
    </row>
    <row r="59" spans="4:14" ht="22.5">
      <c r="D59" s="2986" t="s">
        <v>3238</v>
      </c>
      <c r="E59" s="2985" t="s">
        <v>3223</v>
      </c>
      <c r="F59" s="2987">
        <v>2</v>
      </c>
      <c r="G59" s="2988">
        <v>8</v>
      </c>
      <c r="H59" s="2988">
        <v>11</v>
      </c>
      <c r="I59" s="2983">
        <v>42.73</v>
      </c>
      <c r="J59" s="2983">
        <v>34.24</v>
      </c>
      <c r="K59" s="2983">
        <f t="shared" si="0"/>
        <v>12867.891411186522</v>
      </c>
      <c r="L59" s="2983">
        <f t="shared" si="1"/>
        <v>16058.557242990653</v>
      </c>
      <c r="M59" s="2985">
        <v>549845</v>
      </c>
      <c r="N59" s="2983" t="s">
        <v>3233</v>
      </c>
    </row>
    <row r="60" spans="4:14">
      <c r="D60" s="2984" t="s">
        <v>3239</v>
      </c>
      <c r="E60" s="2985" t="s">
        <v>3223</v>
      </c>
      <c r="F60" s="2987">
        <v>2</v>
      </c>
      <c r="G60" s="2988">
        <v>9</v>
      </c>
      <c r="H60" s="2988">
        <v>19</v>
      </c>
      <c r="I60" s="2983">
        <v>73.75</v>
      </c>
      <c r="J60" s="2983">
        <v>59.09</v>
      </c>
      <c r="K60" s="2983">
        <f t="shared" si="0"/>
        <v>12299.75593220339</v>
      </c>
      <c r="L60" s="2983">
        <f t="shared" si="1"/>
        <v>15351.277711964798</v>
      </c>
      <c r="M60" s="2985">
        <v>907107</v>
      </c>
      <c r="N60" s="2983"/>
    </row>
    <row r="61" spans="4:14">
      <c r="D61" s="2986" t="s">
        <v>3240</v>
      </c>
      <c r="E61" s="2985" t="s">
        <v>3223</v>
      </c>
      <c r="F61" s="2987">
        <v>2</v>
      </c>
      <c r="G61" s="2988">
        <v>10</v>
      </c>
      <c r="H61" s="2988">
        <v>12</v>
      </c>
      <c r="I61" s="2983">
        <v>73.75</v>
      </c>
      <c r="J61" s="2983">
        <v>59.09</v>
      </c>
      <c r="K61" s="2983">
        <f t="shared" si="0"/>
        <v>12326.820338983051</v>
      </c>
      <c r="L61" s="2983">
        <f t="shared" si="1"/>
        <v>15385.056693179895</v>
      </c>
      <c r="M61" s="2985">
        <v>909103</v>
      </c>
      <c r="N61" s="2983"/>
    </row>
    <row r="62" spans="4:14">
      <c r="D62" s="2984" t="s">
        <v>3241</v>
      </c>
      <c r="E62" s="2985" t="s">
        <v>3223</v>
      </c>
      <c r="F62" s="2987">
        <v>2</v>
      </c>
      <c r="G62" s="2988">
        <v>19</v>
      </c>
      <c r="H62" s="2988">
        <v>2</v>
      </c>
      <c r="I62" s="2983">
        <v>73.75</v>
      </c>
      <c r="J62" s="2983">
        <v>59.09</v>
      </c>
      <c r="K62" s="2983">
        <f t="shared" si="0"/>
        <v>12217.328813559321</v>
      </c>
      <c r="L62" s="2983">
        <f t="shared" si="1"/>
        <v>15248.400744626839</v>
      </c>
      <c r="M62" s="2985">
        <v>901028</v>
      </c>
      <c r="N62" s="2983"/>
    </row>
    <row r="63" spans="4:14" ht="22.5">
      <c r="D63" s="2986" t="s">
        <v>3242</v>
      </c>
      <c r="E63" s="2985" t="s">
        <v>3223</v>
      </c>
      <c r="F63" s="2987">
        <v>2</v>
      </c>
      <c r="G63" s="2988">
        <v>22</v>
      </c>
      <c r="H63" s="2988">
        <v>20</v>
      </c>
      <c r="I63" s="2983">
        <v>44.33</v>
      </c>
      <c r="J63" s="2983">
        <v>35.520000000000003</v>
      </c>
      <c r="K63" s="2983">
        <f t="shared" si="0"/>
        <v>12825.287615610197</v>
      </c>
      <c r="L63" s="2983">
        <f t="shared" si="1"/>
        <v>16006.334459459458</v>
      </c>
      <c r="M63" s="2985">
        <v>568545</v>
      </c>
      <c r="N63" s="2983" t="s">
        <v>3228</v>
      </c>
    </row>
    <row r="64" spans="4:14" ht="22.5">
      <c r="D64" s="2984" t="s">
        <v>3243</v>
      </c>
      <c r="E64" s="2985" t="s">
        <v>3223</v>
      </c>
      <c r="F64" s="2987">
        <v>2</v>
      </c>
      <c r="G64" s="2988">
        <v>24</v>
      </c>
      <c r="H64" s="2988">
        <v>1</v>
      </c>
      <c r="I64" s="2983">
        <v>44.33</v>
      </c>
      <c r="J64" s="2983">
        <v>35.520000000000003</v>
      </c>
      <c r="K64" s="2983">
        <f t="shared" si="0"/>
        <v>12803.879990976766</v>
      </c>
      <c r="L64" s="2983">
        <f t="shared" si="1"/>
        <v>15979.617117117115</v>
      </c>
      <c r="M64" s="2985">
        <v>567596</v>
      </c>
      <c r="N64" s="2983" t="s">
        <v>3228</v>
      </c>
    </row>
    <row r="65" spans="4:14" ht="22.5">
      <c r="D65" s="2986" t="s">
        <v>3244</v>
      </c>
      <c r="E65" s="2985" t="s">
        <v>3223</v>
      </c>
      <c r="F65" s="2987">
        <v>2</v>
      </c>
      <c r="G65" s="2988">
        <v>24</v>
      </c>
      <c r="H65" s="2988">
        <v>20</v>
      </c>
      <c r="I65" s="2983">
        <v>44.33</v>
      </c>
      <c r="J65" s="2983">
        <v>35.520000000000003</v>
      </c>
      <c r="K65" s="2983">
        <f t="shared" si="0"/>
        <v>12803.879990976766</v>
      </c>
      <c r="L65" s="2983">
        <f t="shared" si="1"/>
        <v>15979.617117117115</v>
      </c>
      <c r="M65" s="2985">
        <v>567596</v>
      </c>
      <c r="N65" s="2983" t="s">
        <v>3228</v>
      </c>
    </row>
    <row r="66" spans="4:14">
      <c r="D66" s="2984" t="s">
        <v>3245</v>
      </c>
      <c r="E66" s="2985" t="s">
        <v>3223</v>
      </c>
      <c r="F66" s="2987">
        <v>2</v>
      </c>
      <c r="G66" s="2988">
        <v>25</v>
      </c>
      <c r="H66" s="2988">
        <v>1</v>
      </c>
      <c r="I66" s="2983">
        <v>44.33</v>
      </c>
      <c r="J66" s="2983">
        <v>35.520000000000003</v>
      </c>
      <c r="K66" s="2983">
        <f t="shared" si="0"/>
        <v>12841.371531694112</v>
      </c>
      <c r="L66" s="2983">
        <f t="shared" si="1"/>
        <v>16026.407657657655</v>
      </c>
      <c r="M66" s="2985">
        <v>569258</v>
      </c>
      <c r="N66" s="2983"/>
    </row>
    <row r="67" spans="4:14" ht="22.5">
      <c r="D67" s="2986" t="s">
        <v>3246</v>
      </c>
      <c r="E67" s="2985" t="s">
        <v>3223</v>
      </c>
      <c r="F67" s="2987">
        <v>2</v>
      </c>
      <c r="G67" s="2988">
        <v>25</v>
      </c>
      <c r="H67" s="2988">
        <v>3</v>
      </c>
      <c r="I67" s="2983">
        <v>32.409999999999997</v>
      </c>
      <c r="J67" s="2983">
        <v>25.97</v>
      </c>
      <c r="K67" s="2983">
        <f t="shared" si="0"/>
        <v>13132.088861462513</v>
      </c>
      <c r="L67" s="2983">
        <f t="shared" si="1"/>
        <v>16388.563727377743</v>
      </c>
      <c r="M67" s="2985">
        <v>425611</v>
      </c>
      <c r="N67" s="2983" t="s">
        <v>3233</v>
      </c>
    </row>
    <row r="68" spans="4:14" ht="22.5">
      <c r="D68" s="2984" t="s">
        <v>3247</v>
      </c>
      <c r="E68" s="2985" t="s">
        <v>3223</v>
      </c>
      <c r="F68" s="2987">
        <v>2</v>
      </c>
      <c r="G68" s="2988">
        <v>25</v>
      </c>
      <c r="H68" s="2988">
        <v>4</v>
      </c>
      <c r="I68" s="2983">
        <v>32.409999999999997</v>
      </c>
      <c r="J68" s="2983">
        <v>25.97</v>
      </c>
      <c r="K68" s="2983">
        <f t="shared" si="0"/>
        <v>13138.012958963285</v>
      </c>
      <c r="L68" s="2983">
        <f t="shared" si="1"/>
        <v>16395.956873315365</v>
      </c>
      <c r="M68" s="2985">
        <v>425803</v>
      </c>
      <c r="N68" s="2983" t="s">
        <v>3233</v>
      </c>
    </row>
    <row r="69" spans="4:14">
      <c r="D69" s="2986" t="s">
        <v>3248</v>
      </c>
      <c r="E69" s="2985" t="s">
        <v>3223</v>
      </c>
      <c r="F69" s="2987">
        <v>2</v>
      </c>
      <c r="G69" s="2988">
        <v>25</v>
      </c>
      <c r="H69" s="2988">
        <v>5</v>
      </c>
      <c r="I69" s="2983">
        <v>32.409999999999997</v>
      </c>
      <c r="J69" s="2983">
        <v>25.97</v>
      </c>
      <c r="K69" s="2983">
        <f t="shared" si="0"/>
        <v>13140.419623572972</v>
      </c>
      <c r="L69" s="2983">
        <f t="shared" si="1"/>
        <v>16398.960338852521</v>
      </c>
      <c r="M69" s="2985">
        <v>425881</v>
      </c>
      <c r="N69" s="2983"/>
    </row>
    <row r="70" spans="4:14" ht="22.5">
      <c r="D70" s="2984" t="s">
        <v>3249</v>
      </c>
      <c r="E70" s="2985" t="s">
        <v>3223</v>
      </c>
      <c r="F70" s="2987">
        <v>2</v>
      </c>
      <c r="G70" s="2988">
        <v>25</v>
      </c>
      <c r="H70" s="2988">
        <v>6</v>
      </c>
      <c r="I70" s="2983">
        <v>32.409999999999997</v>
      </c>
      <c r="J70" s="2983">
        <v>25.97</v>
      </c>
      <c r="K70" s="2983">
        <f t="shared" si="0"/>
        <v>13142.826288182661</v>
      </c>
      <c r="L70" s="2983">
        <f t="shared" si="1"/>
        <v>16401.963804389681</v>
      </c>
      <c r="M70" s="2985">
        <v>425959</v>
      </c>
      <c r="N70" s="2983" t="s">
        <v>3233</v>
      </c>
    </row>
    <row r="71" spans="4:14" ht="22.5">
      <c r="D71" s="2986" t="s">
        <v>3250</v>
      </c>
      <c r="E71" s="2985" t="s">
        <v>3223</v>
      </c>
      <c r="F71" s="2987">
        <v>2</v>
      </c>
      <c r="G71" s="2988">
        <v>25</v>
      </c>
      <c r="H71" s="2988">
        <v>7</v>
      </c>
      <c r="I71" s="2983">
        <v>32.409999999999997</v>
      </c>
      <c r="J71" s="2983">
        <v>25.97</v>
      </c>
      <c r="K71" s="2983">
        <f t="shared" si="0"/>
        <v>13146.374575748227</v>
      </c>
      <c r="L71" s="2983">
        <f t="shared" si="1"/>
        <v>16406.39199075857</v>
      </c>
      <c r="M71" s="2985">
        <v>426074</v>
      </c>
      <c r="N71" s="2983" t="s">
        <v>3233</v>
      </c>
    </row>
    <row r="72" spans="4:14" ht="22.5">
      <c r="D72" s="2984" t="s">
        <v>3251</v>
      </c>
      <c r="E72" s="2985" t="s">
        <v>3223</v>
      </c>
      <c r="F72" s="2987">
        <v>2</v>
      </c>
      <c r="G72" s="2988">
        <v>25</v>
      </c>
      <c r="H72" s="2988">
        <v>8</v>
      </c>
      <c r="I72" s="2983">
        <v>32.409999999999997</v>
      </c>
      <c r="J72" s="2983">
        <v>25.97</v>
      </c>
      <c r="K72" s="2983">
        <f t="shared" si="0"/>
        <v>13152.329527923483</v>
      </c>
      <c r="L72" s="2983">
        <f t="shared" si="1"/>
        <v>16413.823642664614</v>
      </c>
      <c r="M72" s="2985">
        <v>426267</v>
      </c>
      <c r="N72" s="2983" t="s">
        <v>3233</v>
      </c>
    </row>
    <row r="73" spans="4:14" ht="22.5">
      <c r="D73" s="2986" t="s">
        <v>3252</v>
      </c>
      <c r="E73" s="2985" t="s">
        <v>3223</v>
      </c>
      <c r="F73" s="2987">
        <v>2</v>
      </c>
      <c r="G73" s="2988">
        <v>25</v>
      </c>
      <c r="H73" s="2988">
        <v>10</v>
      </c>
      <c r="I73" s="2983">
        <v>42.33</v>
      </c>
      <c r="J73" s="2983">
        <v>33.92</v>
      </c>
      <c r="K73" s="2983">
        <f t="shared" si="0"/>
        <v>12968.934561776518</v>
      </c>
      <c r="L73" s="2983">
        <f t="shared" si="1"/>
        <v>16184.404481132075</v>
      </c>
      <c r="M73" s="2985">
        <v>548975</v>
      </c>
      <c r="N73" s="2983" t="s">
        <v>3228</v>
      </c>
    </row>
    <row r="74" spans="4:14" ht="22.5">
      <c r="D74" s="2984" t="s">
        <v>3253</v>
      </c>
      <c r="E74" s="2985" t="s">
        <v>3223</v>
      </c>
      <c r="F74" s="2987">
        <v>2</v>
      </c>
      <c r="G74" s="2988">
        <v>25</v>
      </c>
      <c r="H74" s="2988">
        <v>11</v>
      </c>
      <c r="I74" s="2983">
        <v>42.73</v>
      </c>
      <c r="J74" s="2983">
        <v>34.24</v>
      </c>
      <c r="K74" s="2983">
        <f t="shared" si="0"/>
        <v>12964.310788673065</v>
      </c>
      <c r="L74" s="2983">
        <f t="shared" si="1"/>
        <v>16178.884345794391</v>
      </c>
      <c r="M74" s="2985">
        <v>553965</v>
      </c>
      <c r="N74" s="2983" t="s">
        <v>3228</v>
      </c>
    </row>
    <row r="75" spans="4:14" ht="22.5">
      <c r="D75" s="2986" t="s">
        <v>3254</v>
      </c>
      <c r="E75" s="2985" t="s">
        <v>3223</v>
      </c>
      <c r="F75" s="2987">
        <v>2</v>
      </c>
      <c r="G75" s="2988">
        <v>25</v>
      </c>
      <c r="H75" s="2988">
        <v>13</v>
      </c>
      <c r="I75" s="2983">
        <v>32.409999999999997</v>
      </c>
      <c r="J75" s="2983">
        <v>25.97</v>
      </c>
      <c r="K75" s="2983">
        <f t="shared" si="0"/>
        <v>13208.731872878743</v>
      </c>
      <c r="L75" s="2983">
        <f t="shared" si="1"/>
        <v>16484.212552945708</v>
      </c>
      <c r="M75" s="2985">
        <v>428095</v>
      </c>
      <c r="N75" s="2983" t="s">
        <v>3233</v>
      </c>
    </row>
    <row r="76" spans="4:14" ht="22.5">
      <c r="D76" s="2984" t="s">
        <v>3255</v>
      </c>
      <c r="E76" s="2985" t="s">
        <v>3223</v>
      </c>
      <c r="F76" s="2987">
        <v>2</v>
      </c>
      <c r="G76" s="2988">
        <v>25</v>
      </c>
      <c r="H76" s="2988">
        <v>14</v>
      </c>
      <c r="I76" s="2983">
        <v>32.409999999999997</v>
      </c>
      <c r="J76" s="2983">
        <v>25.97</v>
      </c>
      <c r="K76" s="2983">
        <f t="shared" si="0"/>
        <v>13214.717679728481</v>
      </c>
      <c r="L76" s="2983">
        <f t="shared" si="1"/>
        <v>16491.68271082018</v>
      </c>
      <c r="M76" s="2985">
        <v>428289</v>
      </c>
      <c r="N76" s="2983" t="s">
        <v>3233</v>
      </c>
    </row>
    <row r="77" spans="4:14" ht="22.5">
      <c r="D77" s="2986" t="s">
        <v>3256</v>
      </c>
      <c r="E77" s="2985" t="s">
        <v>3223</v>
      </c>
      <c r="F77" s="2987">
        <v>2</v>
      </c>
      <c r="G77" s="2988">
        <v>25</v>
      </c>
      <c r="H77" s="2988">
        <v>15</v>
      </c>
      <c r="I77" s="2983">
        <v>32.409999999999997</v>
      </c>
      <c r="J77" s="2983">
        <v>25.97</v>
      </c>
      <c r="K77" s="2983">
        <f t="shared" si="0"/>
        <v>13202.776920703487</v>
      </c>
      <c r="L77" s="2983">
        <f t="shared" si="1"/>
        <v>16476.780901039663</v>
      </c>
      <c r="M77" s="2985">
        <v>427902</v>
      </c>
      <c r="N77" s="2983" t="s">
        <v>3233</v>
      </c>
    </row>
    <row r="78" spans="4:14" ht="22.5">
      <c r="D78" s="2984" t="s">
        <v>3257</v>
      </c>
      <c r="E78" s="2985" t="s">
        <v>3223</v>
      </c>
      <c r="F78" s="2987">
        <v>2</v>
      </c>
      <c r="G78" s="2988">
        <v>25</v>
      </c>
      <c r="H78" s="2988">
        <v>16</v>
      </c>
      <c r="I78" s="2983">
        <v>32.409999999999997</v>
      </c>
      <c r="J78" s="2983">
        <v>25.97</v>
      </c>
      <c r="K78" s="2983">
        <f t="shared" si="0"/>
        <v>13196.821968528233</v>
      </c>
      <c r="L78" s="2983">
        <f t="shared" si="1"/>
        <v>16469.349249133615</v>
      </c>
      <c r="M78" s="2985">
        <v>427709</v>
      </c>
      <c r="N78" s="2983" t="s">
        <v>3228</v>
      </c>
    </row>
    <row r="79" spans="4:14" ht="22.5">
      <c r="D79" s="2986" t="s">
        <v>3258</v>
      </c>
      <c r="E79" s="2985" t="s">
        <v>3223</v>
      </c>
      <c r="F79" s="2987">
        <v>2</v>
      </c>
      <c r="G79" s="2988">
        <v>25</v>
      </c>
      <c r="H79" s="2988">
        <v>17</v>
      </c>
      <c r="I79" s="2983">
        <v>32.409999999999997</v>
      </c>
      <c r="J79" s="2983">
        <v>25.97</v>
      </c>
      <c r="K79" s="2983">
        <f t="shared" si="0"/>
        <v>13200.401110768284</v>
      </c>
      <c r="L79" s="2983">
        <f t="shared" si="1"/>
        <v>16473.81594147093</v>
      </c>
      <c r="M79" s="2985">
        <v>427825</v>
      </c>
      <c r="N79" s="2983" t="s">
        <v>3228</v>
      </c>
    </row>
    <row r="80" spans="4:14" ht="22.5">
      <c r="D80" s="2984" t="s">
        <v>3259</v>
      </c>
      <c r="E80" s="2985" t="s">
        <v>3223</v>
      </c>
      <c r="F80" s="2987">
        <v>2</v>
      </c>
      <c r="G80" s="2988">
        <v>25</v>
      </c>
      <c r="H80" s="2988">
        <v>18</v>
      </c>
      <c r="I80" s="2983">
        <v>32.409999999999997</v>
      </c>
      <c r="J80" s="2983">
        <v>25.97</v>
      </c>
      <c r="K80" s="2983">
        <f t="shared" si="0"/>
        <v>13194.415303918546</v>
      </c>
      <c r="L80" s="2983">
        <f t="shared" si="1"/>
        <v>16466.345783596458</v>
      </c>
      <c r="M80" s="2985">
        <v>427631</v>
      </c>
      <c r="N80" s="2983" t="s">
        <v>3228</v>
      </c>
    </row>
    <row r="81" spans="4:14" ht="22.5">
      <c r="D81" s="2986" t="s">
        <v>3260</v>
      </c>
      <c r="E81" s="2985" t="s">
        <v>3223</v>
      </c>
      <c r="F81" s="2987">
        <v>2</v>
      </c>
      <c r="G81" s="2988">
        <v>25</v>
      </c>
      <c r="H81" s="2988">
        <v>20</v>
      </c>
      <c r="I81" s="2983">
        <v>44.33</v>
      </c>
      <c r="J81" s="2983">
        <v>35.520000000000003</v>
      </c>
      <c r="K81" s="2983">
        <f t="shared" si="0"/>
        <v>12841.371531694112</v>
      </c>
      <c r="L81" s="2983">
        <f t="shared" si="1"/>
        <v>16026.407657657655</v>
      </c>
      <c r="M81" s="2985">
        <v>569258</v>
      </c>
      <c r="N81" s="2983" t="s">
        <v>3228</v>
      </c>
    </row>
    <row r="82" spans="4:14" ht="22.5">
      <c r="D82" s="2984" t="s">
        <v>3261</v>
      </c>
      <c r="E82" s="2985" t="s">
        <v>3223</v>
      </c>
      <c r="F82" s="2987">
        <v>2</v>
      </c>
      <c r="G82" s="2988">
        <v>28</v>
      </c>
      <c r="H82" s="2988">
        <v>10</v>
      </c>
      <c r="I82" s="2983">
        <v>42.33</v>
      </c>
      <c r="J82" s="2983">
        <v>33.92</v>
      </c>
      <c r="K82" s="2983">
        <f t="shared" si="0"/>
        <v>12984.99881880463</v>
      </c>
      <c r="L82" s="2983">
        <f t="shared" si="1"/>
        <v>16204.451650943396</v>
      </c>
      <c r="M82" s="2985">
        <v>549655</v>
      </c>
      <c r="N82" s="2983" t="s">
        <v>3228</v>
      </c>
    </row>
    <row r="83" spans="4:14" ht="22.5">
      <c r="D83" s="2986" t="s">
        <v>3262</v>
      </c>
      <c r="E83" s="2985" t="s">
        <v>3223</v>
      </c>
      <c r="F83" s="2987">
        <v>2</v>
      </c>
      <c r="G83" s="2988">
        <v>30</v>
      </c>
      <c r="H83" s="2988">
        <v>5</v>
      </c>
      <c r="I83" s="2983">
        <v>32.409999999999997</v>
      </c>
      <c r="J83" s="2983">
        <v>25.97</v>
      </c>
      <c r="K83" s="2983">
        <f t="shared" si="0"/>
        <v>13121.104597346499</v>
      </c>
      <c r="L83" s="2983">
        <f t="shared" si="1"/>
        <v>16374.855602618407</v>
      </c>
      <c r="M83" s="2985">
        <v>425255</v>
      </c>
      <c r="N83" s="2983" t="s">
        <v>3233</v>
      </c>
    </row>
    <row r="84" spans="4:14" ht="22.5">
      <c r="D84" s="2984" t="s">
        <v>3263</v>
      </c>
      <c r="E84" s="2985" t="s">
        <v>3223</v>
      </c>
      <c r="F84" s="2987">
        <v>2</v>
      </c>
      <c r="G84" s="2988">
        <v>30</v>
      </c>
      <c r="H84" s="2988">
        <v>6</v>
      </c>
      <c r="I84" s="2983">
        <v>32.409999999999997</v>
      </c>
      <c r="J84" s="2983">
        <v>25.97</v>
      </c>
      <c r="K84" s="2983">
        <f t="shared" si="0"/>
        <v>13123.511261956188</v>
      </c>
      <c r="L84" s="2983">
        <f t="shared" si="1"/>
        <v>16377.859068155565</v>
      </c>
      <c r="M84" s="2985">
        <v>425333</v>
      </c>
      <c r="N84" s="2983" t="s">
        <v>3233</v>
      </c>
    </row>
    <row r="85" spans="4:14" ht="22.5">
      <c r="D85" s="2986" t="s">
        <v>3264</v>
      </c>
      <c r="E85" s="2985" t="s">
        <v>3223</v>
      </c>
      <c r="F85" s="2987">
        <v>2</v>
      </c>
      <c r="G85" s="2988">
        <v>30</v>
      </c>
      <c r="H85" s="2988">
        <v>7</v>
      </c>
      <c r="I85" s="2983">
        <v>32.409999999999997</v>
      </c>
      <c r="J85" s="2983">
        <v>25.97</v>
      </c>
      <c r="K85" s="2983">
        <f t="shared" si="0"/>
        <v>13127.090404196237</v>
      </c>
      <c r="L85" s="2983">
        <f t="shared" si="1"/>
        <v>16382.325760492877</v>
      </c>
      <c r="M85" s="2985">
        <v>425449</v>
      </c>
      <c r="N85" s="2983" t="s">
        <v>3233</v>
      </c>
    </row>
    <row r="86" spans="4:14" ht="22.5">
      <c r="D86" s="2984" t="s">
        <v>3265</v>
      </c>
      <c r="E86" s="2985" t="s">
        <v>3223</v>
      </c>
      <c r="F86" s="2987">
        <v>2</v>
      </c>
      <c r="G86" s="2988">
        <v>30</v>
      </c>
      <c r="H86" s="2988">
        <v>8</v>
      </c>
      <c r="I86" s="2983">
        <v>32.409999999999997</v>
      </c>
      <c r="J86" s="2983">
        <v>25.97</v>
      </c>
      <c r="K86" s="2983">
        <f t="shared" si="0"/>
        <v>13133.045356371491</v>
      </c>
      <c r="L86" s="2983">
        <f t="shared" si="1"/>
        <v>16389.757412398922</v>
      </c>
      <c r="M86" s="2985">
        <v>425642</v>
      </c>
      <c r="N86" s="2983" t="s">
        <v>3233</v>
      </c>
    </row>
    <row r="87" spans="4:14" ht="22.5">
      <c r="D87" s="2986" t="s">
        <v>3266</v>
      </c>
      <c r="E87" s="2985" t="s">
        <v>3223</v>
      </c>
      <c r="F87" s="2987">
        <v>2</v>
      </c>
      <c r="G87" s="2988">
        <v>30</v>
      </c>
      <c r="H87" s="2988">
        <v>10</v>
      </c>
      <c r="I87" s="2983">
        <v>42.33</v>
      </c>
      <c r="J87" s="2983">
        <v>33.92</v>
      </c>
      <c r="K87" s="2983">
        <f t="shared" si="0"/>
        <v>12936.7824238129</v>
      </c>
      <c r="L87" s="2983">
        <f t="shared" si="1"/>
        <v>16144.280660377357</v>
      </c>
      <c r="M87" s="2985">
        <v>547614</v>
      </c>
      <c r="N87" s="2983" t="s">
        <v>3233</v>
      </c>
    </row>
    <row r="88" spans="4:14">
      <c r="D88" s="2984" t="s">
        <v>3267</v>
      </c>
      <c r="E88" s="2985" t="s">
        <v>3223</v>
      </c>
      <c r="F88" s="2987">
        <v>2</v>
      </c>
      <c r="G88" s="2988">
        <v>30</v>
      </c>
      <c r="H88" s="2988">
        <v>11</v>
      </c>
      <c r="I88" s="2983">
        <v>42.73</v>
      </c>
      <c r="J88" s="2983">
        <v>34.24</v>
      </c>
      <c r="K88" s="2983">
        <f t="shared" si="0"/>
        <v>12932.178797098059</v>
      </c>
      <c r="L88" s="2983">
        <f t="shared" si="1"/>
        <v>16138.785046728972</v>
      </c>
      <c r="M88" s="2985">
        <v>552592</v>
      </c>
      <c r="N88" s="2983"/>
    </row>
    <row r="89" spans="4:14">
      <c r="D89" s="2986" t="s">
        <v>3268</v>
      </c>
      <c r="E89" s="2985" t="s">
        <v>3223</v>
      </c>
      <c r="F89" s="2987">
        <v>2</v>
      </c>
      <c r="G89" s="2988">
        <v>30</v>
      </c>
      <c r="H89" s="2988">
        <v>13</v>
      </c>
      <c r="I89" s="2983">
        <v>32.409999999999997</v>
      </c>
      <c r="J89" s="2983">
        <v>25.97</v>
      </c>
      <c r="K89" s="2983">
        <f t="shared" si="0"/>
        <v>13189.478556001235</v>
      </c>
      <c r="L89" s="2983">
        <f t="shared" si="1"/>
        <v>16460.184828648442</v>
      </c>
      <c r="M89" s="2985">
        <v>427471</v>
      </c>
      <c r="N89" s="2983"/>
    </row>
    <row r="90" spans="4:14">
      <c r="D90" s="2984" t="s">
        <v>3269</v>
      </c>
      <c r="E90" s="2985" t="s">
        <v>3223</v>
      </c>
      <c r="F90" s="2987">
        <v>2</v>
      </c>
      <c r="G90" s="2988">
        <v>30</v>
      </c>
      <c r="H90" s="2988">
        <v>14</v>
      </c>
      <c r="I90" s="2983">
        <v>32.409999999999997</v>
      </c>
      <c r="J90" s="2983">
        <v>25.97</v>
      </c>
      <c r="K90" s="2983">
        <f t="shared" si="0"/>
        <v>13195.402653502008</v>
      </c>
      <c r="L90" s="2983">
        <f t="shared" si="1"/>
        <v>16467.57797458606</v>
      </c>
      <c r="M90" s="2985">
        <v>427663</v>
      </c>
      <c r="N90" s="2983"/>
    </row>
    <row r="91" spans="4:14">
      <c r="D91" s="2986" t="s">
        <v>3270</v>
      </c>
      <c r="E91" s="2985" t="s">
        <v>3223</v>
      </c>
      <c r="F91" s="2987">
        <v>2</v>
      </c>
      <c r="G91" s="2988">
        <v>30</v>
      </c>
      <c r="H91" s="2988">
        <v>17</v>
      </c>
      <c r="I91" s="2983">
        <v>32.409999999999997</v>
      </c>
      <c r="J91" s="2983">
        <v>25.97</v>
      </c>
      <c r="K91" s="2983">
        <f t="shared" si="0"/>
        <v>13181.08608454181</v>
      </c>
      <c r="L91" s="2983">
        <f t="shared" si="1"/>
        <v>16449.711205236814</v>
      </c>
      <c r="M91" s="2985">
        <v>427199</v>
      </c>
      <c r="N91" s="2983"/>
    </row>
    <row r="92" spans="4:14">
      <c r="D92" s="2984" t="s">
        <v>3271</v>
      </c>
      <c r="E92" s="2985" t="s">
        <v>3223</v>
      </c>
      <c r="F92" s="2987">
        <v>2</v>
      </c>
      <c r="G92" s="2988">
        <v>30</v>
      </c>
      <c r="H92" s="2988">
        <v>18</v>
      </c>
      <c r="I92" s="2983">
        <v>32.409999999999997</v>
      </c>
      <c r="J92" s="2983">
        <v>25.97</v>
      </c>
      <c r="K92" s="2983">
        <f t="shared" si="0"/>
        <v>13175.161987041038</v>
      </c>
      <c r="L92" s="2983">
        <f t="shared" si="1"/>
        <v>16442.318059299192</v>
      </c>
      <c r="M92" s="2985">
        <v>427007</v>
      </c>
      <c r="N92" s="2983"/>
    </row>
    <row r="93" spans="4:14">
      <c r="D93" s="2986" t="s">
        <v>3272</v>
      </c>
      <c r="E93" s="2985" t="s">
        <v>3223</v>
      </c>
      <c r="F93" s="2987">
        <v>2</v>
      </c>
      <c r="G93" s="2988">
        <v>30</v>
      </c>
      <c r="H93" s="2988">
        <v>20</v>
      </c>
      <c r="I93" s="2983">
        <v>44.33</v>
      </c>
      <c r="J93" s="2983">
        <v>35.520000000000003</v>
      </c>
      <c r="K93" s="2983">
        <f t="shared" si="0"/>
        <v>12800.654184525152</v>
      </c>
      <c r="L93" s="2983">
        <f t="shared" si="1"/>
        <v>15975.591216216215</v>
      </c>
      <c r="M93" s="2985">
        <v>567453</v>
      </c>
      <c r="N93" s="2983"/>
    </row>
    <row r="94" spans="4:14">
      <c r="D94" s="2984" t="s">
        <v>3273</v>
      </c>
      <c r="E94" s="2982" t="s">
        <v>3274</v>
      </c>
      <c r="F94" s="2982">
        <v>1</v>
      </c>
      <c r="G94" s="2982"/>
      <c r="H94" s="2982" t="s">
        <v>3275</v>
      </c>
      <c r="I94" s="2983">
        <v>145.53</v>
      </c>
      <c r="J94" s="2983">
        <v>134.97</v>
      </c>
      <c r="K94" s="2983">
        <f t="shared" si="0"/>
        <v>44575.001717858861</v>
      </c>
      <c r="L94" s="2983">
        <f t="shared" si="1"/>
        <v>48062.532414610658</v>
      </c>
      <c r="M94" s="2985">
        <v>6487000</v>
      </c>
      <c r="N94" s="2983"/>
    </row>
    <row r="95" spans="4:14">
      <c r="D95" s="2986" t="s">
        <v>3276</v>
      </c>
      <c r="E95" s="2982" t="s">
        <v>3274</v>
      </c>
      <c r="F95" s="2982">
        <v>1</v>
      </c>
      <c r="G95" s="2982"/>
      <c r="H95" s="2982" t="s">
        <v>3277</v>
      </c>
      <c r="I95" s="2983">
        <v>71.290000000000006</v>
      </c>
      <c r="J95" s="2983">
        <v>66.12</v>
      </c>
      <c r="K95" s="2983">
        <f t="shared" si="0"/>
        <v>56806.999579183612</v>
      </c>
      <c r="L95" s="2983">
        <f t="shared" si="1"/>
        <v>61248.805202661824</v>
      </c>
      <c r="M95" s="2985">
        <v>4049771</v>
      </c>
      <c r="N95" s="2983"/>
    </row>
    <row r="96" spans="4:14">
      <c r="D96" s="2984" t="s">
        <v>3278</v>
      </c>
      <c r="E96" s="2982" t="s">
        <v>3274</v>
      </c>
      <c r="F96" s="2982">
        <v>1</v>
      </c>
      <c r="G96" s="2982"/>
      <c r="H96" s="2982" t="s">
        <v>3279</v>
      </c>
      <c r="I96" s="2983">
        <v>51.92</v>
      </c>
      <c r="J96" s="2983">
        <v>48.15</v>
      </c>
      <c r="K96" s="2983">
        <f t="shared" si="0"/>
        <v>60254.006163328195</v>
      </c>
      <c r="L96" s="2983">
        <f t="shared" si="1"/>
        <v>64971.713395638631</v>
      </c>
      <c r="M96" s="2985">
        <v>3128388</v>
      </c>
      <c r="N96" s="2983"/>
    </row>
    <row r="97" spans="4:14">
      <c r="D97" s="2986" t="s">
        <v>3280</v>
      </c>
      <c r="E97" s="2982" t="s">
        <v>3274</v>
      </c>
      <c r="F97" s="2982">
        <v>1</v>
      </c>
      <c r="G97" s="2982"/>
      <c r="H97" s="2982" t="s">
        <v>3281</v>
      </c>
      <c r="I97" s="2983">
        <v>76.22</v>
      </c>
      <c r="J97" s="2983">
        <v>70.69</v>
      </c>
      <c r="K97" s="2983">
        <f t="shared" si="0"/>
        <v>41025.006559958019</v>
      </c>
      <c r="L97" s="2983">
        <f t="shared" si="1"/>
        <v>44234.347149526104</v>
      </c>
      <c r="M97" s="2985">
        <v>3126926</v>
      </c>
      <c r="N97" s="2983"/>
    </row>
    <row r="98" spans="4:14">
      <c r="D98" s="2984" t="s">
        <v>3282</v>
      </c>
      <c r="E98" s="2982" t="s">
        <v>3274</v>
      </c>
      <c r="F98" s="2982">
        <v>1</v>
      </c>
      <c r="G98" s="2982"/>
      <c r="H98" s="2982" t="s">
        <v>3283</v>
      </c>
      <c r="I98" s="2983">
        <v>125.56</v>
      </c>
      <c r="J98" s="2983">
        <v>116.45</v>
      </c>
      <c r="K98" s="2983">
        <f t="shared" si="0"/>
        <v>43594.002867155141</v>
      </c>
      <c r="L98" s="2983">
        <f t="shared" si="1"/>
        <v>47004.405324173465</v>
      </c>
      <c r="M98" s="2985">
        <v>5473663</v>
      </c>
      <c r="N98" s="2983"/>
    </row>
    <row r="99" spans="4:14">
      <c r="D99" s="2986" t="s">
        <v>3284</v>
      </c>
      <c r="E99" s="2982" t="s">
        <v>3274</v>
      </c>
      <c r="F99" s="2982">
        <v>1</v>
      </c>
      <c r="G99" s="2982"/>
      <c r="H99" s="2982" t="s">
        <v>3285</v>
      </c>
      <c r="I99" s="2983">
        <v>47.48</v>
      </c>
      <c r="J99" s="2983">
        <v>44.04</v>
      </c>
      <c r="K99" s="2983">
        <f t="shared" si="0"/>
        <v>46212.994945240105</v>
      </c>
      <c r="L99" s="2983">
        <f t="shared" si="1"/>
        <v>49822.729336966397</v>
      </c>
      <c r="M99" s="2985">
        <v>2194193</v>
      </c>
      <c r="N99" s="2983"/>
    </row>
    <row r="100" spans="4:14">
      <c r="D100" s="2984" t="s">
        <v>3286</v>
      </c>
      <c r="E100" s="2982" t="s">
        <v>3274</v>
      </c>
      <c r="F100" s="2982">
        <v>1</v>
      </c>
      <c r="G100" s="2982"/>
      <c r="H100" s="2982" t="s">
        <v>3287</v>
      </c>
      <c r="I100" s="2983">
        <v>75.680000000000007</v>
      </c>
      <c r="J100" s="2983">
        <v>70.19</v>
      </c>
      <c r="K100" s="2983">
        <f t="shared" si="0"/>
        <v>51844.001057082445</v>
      </c>
      <c r="L100" s="2983">
        <f t="shared" si="1"/>
        <v>55899.045448069526</v>
      </c>
      <c r="M100" s="2985">
        <v>3923554</v>
      </c>
      <c r="N100" s="2983"/>
    </row>
    <row r="101" spans="4:14">
      <c r="D101" s="2986" t="s">
        <v>3288</v>
      </c>
      <c r="E101" s="2982" t="s">
        <v>3274</v>
      </c>
      <c r="F101" s="2982">
        <v>1</v>
      </c>
      <c r="G101" s="2982"/>
      <c r="H101" s="2982" t="s">
        <v>3289</v>
      </c>
      <c r="I101" s="2983">
        <v>47.31</v>
      </c>
      <c r="J101" s="2983">
        <v>43.88</v>
      </c>
      <c r="K101" s="2983">
        <f t="shared" si="0"/>
        <v>43828.006763897691</v>
      </c>
      <c r="L101" s="2983">
        <f t="shared" si="1"/>
        <v>47253.942570647218</v>
      </c>
      <c r="M101" s="2985">
        <v>2073503</v>
      </c>
      <c r="N101" s="2983"/>
    </row>
    <row r="102" spans="4:14">
      <c r="D102" s="2984" t="s">
        <v>3290</v>
      </c>
      <c r="E102" s="2982" t="s">
        <v>3274</v>
      </c>
      <c r="F102" s="2982">
        <v>1</v>
      </c>
      <c r="G102" s="2982"/>
      <c r="H102" s="2982" t="s">
        <v>3291</v>
      </c>
      <c r="I102" s="2983">
        <v>52.79</v>
      </c>
      <c r="J102" s="2983">
        <v>48.96</v>
      </c>
      <c r="K102" s="2983">
        <f t="shared" si="0"/>
        <v>44589.998105701838</v>
      </c>
      <c r="L102" s="2983">
        <f t="shared" si="1"/>
        <v>48078.145424836599</v>
      </c>
      <c r="M102" s="2985">
        <v>2353906</v>
      </c>
      <c r="N102" s="2983"/>
    </row>
    <row r="103" spans="4:14">
      <c r="D103" s="2986" t="s">
        <v>3292</v>
      </c>
      <c r="E103" s="2982" t="s">
        <v>3274</v>
      </c>
      <c r="F103" s="2982">
        <v>1</v>
      </c>
      <c r="G103" s="2982"/>
      <c r="H103" s="2982" t="s">
        <v>3293</v>
      </c>
      <c r="I103" s="2983">
        <v>68.92</v>
      </c>
      <c r="J103" s="2983">
        <v>63.92</v>
      </c>
      <c r="K103" s="2983">
        <f t="shared" si="0"/>
        <v>44903.003482298314</v>
      </c>
      <c r="L103" s="2983">
        <f t="shared" si="1"/>
        <v>48415.441176470587</v>
      </c>
      <c r="M103" s="2985">
        <v>3094715</v>
      </c>
      <c r="N103" s="2983"/>
    </row>
    <row r="104" spans="4:14">
      <c r="D104" s="2984" t="s">
        <v>3294</v>
      </c>
      <c r="E104" s="2982" t="s">
        <v>3274</v>
      </c>
      <c r="F104" s="2982">
        <v>2</v>
      </c>
      <c r="G104" s="2982"/>
      <c r="H104" s="2982" t="s">
        <v>3295</v>
      </c>
      <c r="I104" s="2983">
        <v>84.37</v>
      </c>
      <c r="J104" s="2983">
        <v>76.7</v>
      </c>
      <c r="K104" s="2983">
        <f t="shared" si="0"/>
        <v>60572.004266919517</v>
      </c>
      <c r="L104" s="2983">
        <f t="shared" si="1"/>
        <v>66629.204693611464</v>
      </c>
      <c r="M104" s="2985">
        <v>5110460</v>
      </c>
      <c r="N104" s="2983"/>
    </row>
    <row r="105" spans="4:14">
      <c r="D105" s="2986" t="s">
        <v>3296</v>
      </c>
      <c r="E105" s="2982" t="s">
        <v>3274</v>
      </c>
      <c r="F105" s="2982">
        <v>2</v>
      </c>
      <c r="G105" s="2982"/>
      <c r="H105" s="2982" t="s">
        <v>3297</v>
      </c>
      <c r="I105" s="2983">
        <v>46.98</v>
      </c>
      <c r="J105" s="2983">
        <v>42.71</v>
      </c>
      <c r="K105" s="2983">
        <f t="shared" si="0"/>
        <v>61858.003405704556</v>
      </c>
      <c r="L105" s="2983">
        <f t="shared" si="1"/>
        <v>68042.355420276275</v>
      </c>
      <c r="M105" s="2985">
        <v>2906089</v>
      </c>
      <c r="N105" s="2983"/>
    </row>
    <row r="106" spans="4:14">
      <c r="D106" s="2984" t="s">
        <v>3298</v>
      </c>
      <c r="E106" s="2982" t="s">
        <v>3274</v>
      </c>
      <c r="F106" s="2982">
        <v>2</v>
      </c>
      <c r="G106" s="2982"/>
      <c r="H106" s="2982" t="s">
        <v>3299</v>
      </c>
      <c r="I106" s="2983">
        <v>53.28</v>
      </c>
      <c r="J106" s="2983">
        <v>48.44</v>
      </c>
      <c r="K106" s="2983">
        <f t="shared" si="0"/>
        <v>60754.992492492493</v>
      </c>
      <c r="L106" s="2983">
        <f t="shared" si="1"/>
        <v>66825.474814203146</v>
      </c>
      <c r="M106" s="2985">
        <v>3237026</v>
      </c>
      <c r="N106" s="2983"/>
    </row>
    <row r="107" spans="4:14">
      <c r="D107" s="2986" t="s">
        <v>3300</v>
      </c>
      <c r="E107" s="2982" t="s">
        <v>3274</v>
      </c>
      <c r="F107" s="2982">
        <v>2</v>
      </c>
      <c r="G107" s="2982"/>
      <c r="H107" s="2982" t="s">
        <v>3301</v>
      </c>
      <c r="I107" s="2983">
        <v>59.99</v>
      </c>
      <c r="J107" s="2983">
        <v>54.54</v>
      </c>
      <c r="K107" s="2983">
        <f t="shared" si="0"/>
        <v>39335.005834305717</v>
      </c>
      <c r="L107" s="2983">
        <f t="shared" si="1"/>
        <v>43265.621562156215</v>
      </c>
      <c r="M107" s="2985">
        <v>2359707</v>
      </c>
      <c r="N107" s="2983"/>
    </row>
    <row r="108" spans="4:14">
      <c r="D108" s="2984" t="s">
        <v>3302</v>
      </c>
      <c r="E108" s="2982" t="s">
        <v>3274</v>
      </c>
      <c r="F108" s="2982">
        <v>2</v>
      </c>
      <c r="G108" s="2982"/>
      <c r="H108" s="2982" t="s">
        <v>3303</v>
      </c>
      <c r="I108" s="2983">
        <v>55.41</v>
      </c>
      <c r="J108" s="2983">
        <v>50.37</v>
      </c>
      <c r="K108" s="2983">
        <f>M108/I108</f>
        <v>21004.999097635806</v>
      </c>
      <c r="L108" s="2983">
        <f>M108/J108</f>
        <v>23106.750049632719</v>
      </c>
      <c r="M108" s="2985">
        <v>1163887</v>
      </c>
      <c r="N108" s="2983"/>
    </row>
  </sheetData>
  <mergeCells count="4">
    <mergeCell ref="D9:D11"/>
    <mergeCell ref="D12:D14"/>
    <mergeCell ref="D23:D34"/>
    <mergeCell ref="D42:N4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101" t="s">
        <v>1937</v>
      </c>
      <c r="B2" s="3101"/>
      <c r="C2" s="3101"/>
      <c r="D2" s="965" t="s">
        <v>1913</v>
      </c>
      <c r="E2" s="2222" t="s">
        <v>1914</v>
      </c>
      <c r="F2" s="1390"/>
      <c r="G2" s="2223"/>
      <c r="H2" s="2224"/>
      <c r="I2" s="2225" t="s">
        <v>1938</v>
      </c>
      <c r="J2" s="1390"/>
      <c r="K2" s="1390"/>
      <c r="L2" s="1390"/>
      <c r="M2" s="1390"/>
      <c r="N2" s="1425"/>
      <c r="O2" s="1390"/>
      <c r="P2" s="1390"/>
    </row>
    <row r="3" spans="1:16" ht="15.75" thickBot="1">
      <c r="A3" s="3102" t="s">
        <v>1911</v>
      </c>
      <c r="B3" s="3102"/>
      <c r="C3" s="3102"/>
      <c r="D3" s="45">
        <f>'数据-基础表'!AY6</f>
        <v>900.43</v>
      </c>
      <c r="E3" s="45">
        <f>'数据-基础表'!AZ5</f>
        <v>3217.2100000000009</v>
      </c>
      <c r="F3" s="1390"/>
      <c r="G3" s="1397"/>
      <c r="H3" s="1245" t="s">
        <v>1912</v>
      </c>
      <c r="I3" s="54">
        <f>ROUND('数据-基础表'!B3/'数据-基础表'!A3,2)</f>
        <v>3.57</v>
      </c>
      <c r="J3" s="1390"/>
      <c r="K3" s="1390"/>
      <c r="L3" s="1390"/>
      <c r="M3" s="1390"/>
      <c r="N3" s="1425"/>
      <c r="O3" s="1390"/>
      <c r="P3" s="1390"/>
    </row>
    <row r="4" spans="1:16" ht="15">
      <c r="A4" s="3103"/>
      <c r="B4" s="3104"/>
      <c r="C4" s="3105"/>
      <c r="D4" s="2226" t="s">
        <v>1913</v>
      </c>
      <c r="E4" s="2227" t="s">
        <v>1914</v>
      </c>
      <c r="F4" s="1390"/>
      <c r="G4" s="2228" t="s">
        <v>1939</v>
      </c>
      <c r="H4" s="1245" t="s">
        <v>1919</v>
      </c>
      <c r="I4" s="54">
        <f>ROUND(SUMIF('数据-基础表'!I9:AS9,"地上",'数据-基础表'!I5:AS5)/'数据-基础表'!A3,2)</f>
        <v>3.57</v>
      </c>
      <c r="J4" s="1390"/>
      <c r="K4" s="1390"/>
      <c r="L4" s="1390"/>
      <c r="M4" s="1390"/>
      <c r="N4" s="1425"/>
      <c r="O4" s="1390"/>
      <c r="P4" s="1390"/>
    </row>
    <row r="5" spans="1:16">
      <c r="A5" s="46" t="s">
        <v>1915</v>
      </c>
      <c r="B5" s="3106" t="s">
        <v>1916</v>
      </c>
      <c r="C5" s="3106"/>
      <c r="D5" s="47">
        <f>ROUND($D$3*E5/$E$3,2)</f>
        <v>602.99</v>
      </c>
      <c r="E5" s="48">
        <f>SUMIF('数据-基础表'!$11:$11,"住宅",'数据-基础表'!$5:$5)</f>
        <v>2154.4800000000009</v>
      </c>
      <c r="F5" s="1390"/>
      <c r="G5" s="1397"/>
      <c r="H5" s="1245" t="s">
        <v>1912</v>
      </c>
      <c r="I5" s="54">
        <f>ROUND(E31/D31,2)</f>
        <v>3.57</v>
      </c>
      <c r="J5" s="1390"/>
      <c r="K5" s="1390"/>
      <c r="L5" s="1390"/>
      <c r="M5" s="1390"/>
      <c r="N5" s="1390"/>
      <c r="O5" s="1390"/>
      <c r="P5" s="1390"/>
    </row>
    <row r="6" spans="1:16" ht="15" thickBot="1">
      <c r="A6" s="2229"/>
      <c r="B6" s="3106" t="s">
        <v>1917</v>
      </c>
      <c r="C6" s="3106"/>
      <c r="D6" s="47">
        <f>ROUND($D$3*E6/$E$3,2)</f>
        <v>297.44</v>
      </c>
      <c r="E6" s="48">
        <f>E3-E5</f>
        <v>1062.73</v>
      </c>
      <c r="F6" s="1390"/>
      <c r="G6" s="2230" t="s">
        <v>1918</v>
      </c>
      <c r="H6" s="1397" t="s">
        <v>1919</v>
      </c>
      <c r="I6" s="937">
        <f>ROUND(F31/D31,2)</f>
        <v>3.57</v>
      </c>
      <c r="J6" s="1390"/>
      <c r="K6" s="1390"/>
      <c r="L6" s="1390"/>
      <c r="M6" s="1390"/>
      <c r="N6" s="1390"/>
      <c r="O6" s="1390"/>
      <c r="P6" s="1390"/>
    </row>
    <row r="7" spans="1:16" ht="15">
      <c r="A7" s="3098"/>
      <c r="B7" s="3099"/>
      <c r="C7" s="3100"/>
      <c r="D7" s="2226" t="s">
        <v>1913</v>
      </c>
      <c r="E7" s="2231" t="s">
        <v>1920</v>
      </c>
      <c r="F7" s="1390"/>
      <c r="G7" s="2223" t="s">
        <v>1921</v>
      </c>
      <c r="H7" s="63"/>
      <c r="I7" s="3000">
        <f>ROUND(244402.1/68403,2)</f>
        <v>3.57</v>
      </c>
      <c r="J7" s="1390"/>
      <c r="K7" s="1390"/>
      <c r="L7" s="1390"/>
      <c r="M7" s="1390"/>
      <c r="N7" s="1390"/>
      <c r="O7" s="1390"/>
      <c r="P7" s="1390"/>
    </row>
    <row r="8" spans="1:16">
      <c r="A8" s="46" t="s">
        <v>1922</v>
      </c>
      <c r="B8" s="49" t="s">
        <v>1923</v>
      </c>
      <c r="C8" s="47" t="s">
        <v>1924</v>
      </c>
      <c r="D8" s="47">
        <f t="shared" ref="D8:D15" si="0">ROUND($D$3*E8/$E$3,2)</f>
        <v>900.43</v>
      </c>
      <c r="E8" s="50">
        <f>SUMIF('数据-基础表'!BB10:BK10,"地上",'数据-基础表'!BB5:BK5)</f>
        <v>3217.2100000000009</v>
      </c>
      <c r="F8" s="1390"/>
      <c r="G8" s="2232"/>
      <c r="H8" s="2232"/>
      <c r="I8" s="1390"/>
      <c r="J8" s="1390"/>
      <c r="K8" s="1390"/>
      <c r="L8" s="1390"/>
      <c r="M8" s="1390"/>
      <c r="N8" s="1390"/>
      <c r="O8" s="1390"/>
      <c r="P8" s="1390"/>
    </row>
    <row r="9" spans="1:16">
      <c r="A9" s="2233"/>
      <c r="B9" s="2234"/>
      <c r="C9" s="47" t="s">
        <v>1925</v>
      </c>
      <c r="D9" s="47">
        <f t="shared" si="0"/>
        <v>0</v>
      </c>
      <c r="E9" s="51">
        <v>0</v>
      </c>
      <c r="F9" s="1390"/>
      <c r="G9" s="2232"/>
      <c r="H9" s="2232"/>
      <c r="I9" s="1390"/>
      <c r="J9" s="1390"/>
      <c r="K9" s="1390"/>
      <c r="L9" s="1390"/>
      <c r="M9" s="1390"/>
      <c r="N9" s="1390"/>
      <c r="O9" s="1390"/>
      <c r="P9" s="1390"/>
    </row>
    <row r="10" spans="1:16">
      <c r="A10" s="2233"/>
      <c r="B10" s="2234"/>
      <c r="C10" s="47" t="s">
        <v>1934</v>
      </c>
      <c r="D10" s="47">
        <f t="shared" si="0"/>
        <v>0</v>
      </c>
      <c r="E10" s="50">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7" t="s">
        <v>1926</v>
      </c>
      <c r="D11" s="47">
        <f t="shared" si="0"/>
        <v>0</v>
      </c>
      <c r="E11" s="50">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7" t="s">
        <v>1927</v>
      </c>
      <c r="D12" s="47">
        <f t="shared" si="0"/>
        <v>0</v>
      </c>
      <c r="E12" s="50">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7" t="s">
        <v>1928</v>
      </c>
      <c r="D13" s="47">
        <f t="shared" si="0"/>
        <v>0</v>
      </c>
      <c r="E13" s="50">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7" t="s">
        <v>1940</v>
      </c>
      <c r="D14" s="47">
        <f t="shared" si="0"/>
        <v>0</v>
      </c>
      <c r="E14" s="50">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7" t="s">
        <v>1935</v>
      </c>
      <c r="D15" s="47">
        <f t="shared" si="0"/>
        <v>0</v>
      </c>
      <c r="E15" s="50">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9" t="s">
        <v>1929</v>
      </c>
      <c r="D16" s="49">
        <f>SUM(D8:D15)</f>
        <v>900.43</v>
      </c>
      <c r="E16" s="52">
        <f>SUM(E8:E15)</f>
        <v>3217.2100000000009</v>
      </c>
      <c r="F16" s="1390"/>
      <c r="G16" s="2232"/>
      <c r="H16" s="2235" t="s">
        <v>1941</v>
      </c>
      <c r="I16" s="2236"/>
      <c r="J16" s="1390"/>
      <c r="K16" s="3095" t="s">
        <v>1941</v>
      </c>
      <c r="L16" s="3096"/>
      <c r="M16" s="3096"/>
      <c r="N16" s="3096"/>
      <c r="O16" s="3096"/>
      <c r="P16" s="3097"/>
    </row>
    <row r="17" spans="1:19" ht="15">
      <c r="A17" s="2237" t="s">
        <v>1942</v>
      </c>
      <c r="B17" s="2238" t="s">
        <v>1943</v>
      </c>
      <c r="C17" s="2239" t="s">
        <v>1944</v>
      </c>
      <c r="D17" s="2240" t="s">
        <v>1932</v>
      </c>
      <c r="E17" s="2241" t="s">
        <v>1933</v>
      </c>
      <c r="F17" s="2242"/>
      <c r="G17" s="2243"/>
      <c r="H17" s="2244" t="s">
        <v>1945</v>
      </c>
      <c r="I17" s="2245" t="s">
        <v>1930</v>
      </c>
      <c r="J17" s="1390"/>
      <c r="K17" s="3092" t="s">
        <v>1946</v>
      </c>
      <c r="L17" s="3093"/>
      <c r="M17" s="3094"/>
      <c r="N17" s="3092" t="s">
        <v>1947</v>
      </c>
      <c r="O17" s="3093"/>
      <c r="P17" s="3094"/>
      <c r="R17" s="2223" t="s">
        <v>1948</v>
      </c>
      <c r="S17" s="63"/>
    </row>
    <row r="18" spans="1:19" ht="15">
      <c r="A18" s="2233"/>
      <c r="B18" s="2246"/>
      <c r="C18" s="2247"/>
      <c r="D18" s="2248"/>
      <c r="E18" s="2249" t="s">
        <v>1949</v>
      </c>
      <c r="F18" s="2250" t="s">
        <v>1950</v>
      </c>
      <c r="G18" s="2251" t="s">
        <v>1951</v>
      </c>
      <c r="H18" s="1260" t="s">
        <v>1952</v>
      </c>
      <c r="I18" s="2252" t="s">
        <v>1953</v>
      </c>
      <c r="J18" s="1390"/>
      <c r="K18" s="1260" t="s">
        <v>1954</v>
      </c>
      <c r="L18" s="2253" t="s">
        <v>1955</v>
      </c>
      <c r="M18" s="1044" t="s">
        <v>1956</v>
      </c>
      <c r="N18" s="1260" t="s">
        <v>1954</v>
      </c>
      <c r="O18" s="2253" t="s">
        <v>1955</v>
      </c>
      <c r="P18" s="1044" t="s">
        <v>1956</v>
      </c>
      <c r="R18" s="1245" t="s">
        <v>1957</v>
      </c>
      <c r="S18" s="1245" t="s">
        <v>1958</v>
      </c>
    </row>
    <row r="19" spans="1:19">
      <c r="A19" s="2254"/>
      <c r="B19" s="49" t="s">
        <v>1931</v>
      </c>
      <c r="C19" s="2989" t="s">
        <v>3304</v>
      </c>
      <c r="D19" s="47">
        <f>ROUND($D$3*E19/$E$3,2)</f>
        <v>602.99</v>
      </c>
      <c r="E19" s="55">
        <f t="shared" ref="E19:E26" si="1">SUM(F19:G19)</f>
        <v>2154.4800000000009</v>
      </c>
      <c r="F19" s="56">
        <f>'数据-基础表'!I13</f>
        <v>2154.4800000000009</v>
      </c>
      <c r="G19" s="57"/>
      <c r="H19" s="721">
        <f>ROUND($D$3*I19/$E$3,2)</f>
        <v>0</v>
      </c>
      <c r="I19" s="50">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602.99</v>
      </c>
      <c r="S19" s="1246">
        <f t="shared" si="5"/>
        <v>2154.4800000000009</v>
      </c>
    </row>
    <row r="20" spans="1:19">
      <c r="A20" s="2258"/>
      <c r="B20" s="49" t="s">
        <v>1959</v>
      </c>
      <c r="C20" s="2989" t="s">
        <v>3305</v>
      </c>
      <c r="D20" s="47">
        <f t="shared" ref="D20:D26" si="6">ROUND($D$3*E20/$E$3,2)</f>
        <v>297.44</v>
      </c>
      <c r="E20" s="55">
        <f t="shared" si="1"/>
        <v>1062.73</v>
      </c>
      <c r="F20" s="56">
        <f>'数据-基础表'!M13</f>
        <v>1062.73</v>
      </c>
      <c r="G20" s="57"/>
      <c r="H20" s="721">
        <f t="shared" ref="H20:H26" si="7">ROUND($D$3*I20/$E$3,2)</f>
        <v>0</v>
      </c>
      <c r="I20" s="50">
        <f t="shared" si="2"/>
        <v>0</v>
      </c>
      <c r="J20" s="1390"/>
      <c r="K20" s="1389">
        <f t="shared" si="3"/>
        <v>0</v>
      </c>
      <c r="L20" s="1245">
        <f t="shared" si="4"/>
        <v>0</v>
      </c>
      <c r="M20" s="1401">
        <f t="shared" ref="M20:M26" si="8">K20+L20</f>
        <v>0</v>
      </c>
      <c r="N20" s="2256"/>
      <c r="O20" s="2257"/>
      <c r="P20" s="1401">
        <f t="shared" ref="P20:P26" si="9">N20+O20</f>
        <v>0</v>
      </c>
      <c r="R20" s="1245">
        <f t="shared" si="5"/>
        <v>297.44</v>
      </c>
      <c r="S20" s="1246">
        <f t="shared" si="5"/>
        <v>1062.73</v>
      </c>
    </row>
    <row r="21" spans="1:19">
      <c r="A21" s="2258"/>
      <c r="B21" s="49" t="s">
        <v>1959</v>
      </c>
      <c r="C21" s="2255"/>
      <c r="D21" s="47">
        <f t="shared" si="6"/>
        <v>0</v>
      </c>
      <c r="E21" s="55">
        <f t="shared" si="1"/>
        <v>0</v>
      </c>
      <c r="F21" s="56"/>
      <c r="G21" s="57"/>
      <c r="H21" s="721">
        <f t="shared" si="7"/>
        <v>0</v>
      </c>
      <c r="I21" s="50">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49" t="s">
        <v>1959</v>
      </c>
      <c r="C22" s="59"/>
      <c r="D22" s="47">
        <f t="shared" si="6"/>
        <v>0</v>
      </c>
      <c r="E22" s="55">
        <f t="shared" si="1"/>
        <v>0</v>
      </c>
      <c r="F22" s="60"/>
      <c r="G22" s="61"/>
      <c r="H22" s="721">
        <f t="shared" si="7"/>
        <v>0</v>
      </c>
      <c r="I22" s="50">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49" t="s">
        <v>1959</v>
      </c>
      <c r="C23" s="59"/>
      <c r="D23" s="47">
        <f>ROUND($D$3*E23/$E$3,2)</f>
        <v>0</v>
      </c>
      <c r="E23" s="55">
        <f>SUM(F23:G23)</f>
        <v>0</v>
      </c>
      <c r="F23" s="60"/>
      <c r="G23" s="61"/>
      <c r="H23" s="721">
        <f>ROUND($D$3*I23/$E$3,2)</f>
        <v>0</v>
      </c>
      <c r="I23" s="50">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49" t="s">
        <v>1959</v>
      </c>
      <c r="C24" s="59"/>
      <c r="D24" s="47">
        <f>ROUND($D$3*E24/$E$3,2)</f>
        <v>0</v>
      </c>
      <c r="E24" s="55">
        <f>SUM(F24:G24)</f>
        <v>0</v>
      </c>
      <c r="F24" s="60"/>
      <c r="G24" s="61"/>
      <c r="H24" s="721">
        <f>ROUND($D$3*I24/$E$3,2)</f>
        <v>0</v>
      </c>
      <c r="I24" s="50">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49" t="s">
        <v>1959</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49" t="s">
        <v>1959</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7"/>
      <c r="C27" s="2261" t="s">
        <v>1960</v>
      </c>
      <c r="D27" s="1391">
        <f>SUM(D19:D26)</f>
        <v>900.43000000000006</v>
      </c>
      <c r="E27" s="1392">
        <f>IF(SUM(E19:E26)='数据-基础表'!BA5,SUM(E19:E26),IF(F27="地上面积有误","面积有误","地下面积有误"))</f>
        <v>3217.2100000000009</v>
      </c>
      <c r="F27" s="1391">
        <f>IF(SUM(F19:F26)=E8,SUM(F19:F26),"地上面积有误")</f>
        <v>3217.2100000000009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900.43000000000006</v>
      </c>
      <c r="S27" s="1245">
        <f>IF(SUM(S19:S26)=$E$3,SUM(S19:S26),SUM(S19:S26)&amp;"误差"&amp;ROUND(SUM(S19:S26)-E3,2))</f>
        <v>3217.2100000000009</v>
      </c>
    </row>
    <row r="28" spans="1:19">
      <c r="A28" s="2258"/>
      <c r="B28" s="49" t="s">
        <v>1961</v>
      </c>
      <c r="C28" s="1257" t="s">
        <v>1962</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49" t="s">
        <v>1961</v>
      </c>
      <c r="C29" s="2262" t="s">
        <v>1963</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49"/>
      <c r="C30" s="2263"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1964</v>
      </c>
      <c r="D31" s="727">
        <f>D27+D30</f>
        <v>900.43000000000006</v>
      </c>
      <c r="E31" s="727">
        <f>E27+E30</f>
        <v>3217.2100000000009</v>
      </c>
      <c r="F31" s="728">
        <f>F27+F30</f>
        <v>3217.2100000000009</v>
      </c>
      <c r="G31" s="729">
        <f>G27+G30</f>
        <v>0</v>
      </c>
      <c r="H31" s="1390"/>
      <c r="I31" s="1390"/>
      <c r="J31" s="1390"/>
      <c r="K31" s="1390"/>
      <c r="L31" s="1390"/>
      <c r="M31" s="1390"/>
      <c r="N31" s="1390"/>
      <c r="O31" s="1390"/>
      <c r="P31" s="1390"/>
    </row>
    <row r="32" spans="1:19">
      <c r="A32" s="2228"/>
      <c r="B32" s="2228" t="s">
        <v>1965</v>
      </c>
      <c r="C32" s="2228"/>
      <c r="D32" s="2228"/>
      <c r="E32" s="1272">
        <f>SUMIF(C19:C26,"*住宅*",E19:E26)</f>
        <v>2154.4800000000009</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1966</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1967</v>
      </c>
      <c r="B2" s="1264">
        <f>项目基本情况!D3</f>
        <v>43185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1968</v>
      </c>
      <c r="B4" s="2276"/>
      <c r="C4" s="2277"/>
      <c r="D4" s="2278"/>
      <c r="E4" s="2277" t="s">
        <v>1969</v>
      </c>
      <c r="F4" s="2277"/>
      <c r="G4" s="2277"/>
      <c r="H4" s="2277"/>
      <c r="I4" s="2277"/>
      <c r="J4" s="2279"/>
      <c r="K4" s="2280"/>
      <c r="L4" s="2281"/>
      <c r="M4" s="2277"/>
      <c r="N4" s="2277" t="s">
        <v>1970</v>
      </c>
      <c r="O4" s="2277"/>
      <c r="P4" s="2277"/>
      <c r="Q4" s="2277"/>
      <c r="R4" s="2277"/>
      <c r="S4" s="2279"/>
      <c r="T4" s="2282" t="str">
        <f>'数据-汇总表'!I17</f>
        <v>按面积比例</v>
      </c>
      <c r="U4" s="2276" t="s">
        <v>1971</v>
      </c>
      <c r="V4" s="2277"/>
      <c r="W4" s="2277"/>
      <c r="X4" s="2277"/>
      <c r="Y4" s="2279"/>
      <c r="Z4" s="2239" t="s">
        <v>1972</v>
      </c>
      <c r="AA4" s="2239"/>
      <c r="AB4" s="2239"/>
      <c r="AC4" s="2239"/>
      <c r="AD4" s="2239"/>
      <c r="AE4" s="2237" t="s">
        <v>1973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1974</v>
      </c>
      <c r="B5" s="2285" t="s">
        <v>1975</v>
      </c>
      <c r="C5" s="2286" t="s">
        <v>1976</v>
      </c>
      <c r="D5" s="2287" t="s">
        <v>1977</v>
      </c>
      <c r="E5" s="1266" t="s">
        <v>1978</v>
      </c>
      <c r="F5" s="2288" t="s">
        <v>1979</v>
      </c>
      <c r="G5" s="1266" t="s">
        <v>1980</v>
      </c>
      <c r="H5" s="1266" t="s">
        <v>1981</v>
      </c>
      <c r="I5" s="1266" t="s">
        <v>1982</v>
      </c>
      <c r="J5" s="2289" t="s">
        <v>1983</v>
      </c>
      <c r="K5" s="2290" t="s">
        <v>1984</v>
      </c>
      <c r="L5" s="2291" t="s">
        <v>1985</v>
      </c>
      <c r="M5" s="2292" t="s">
        <v>1986</v>
      </c>
      <c r="N5" s="2293" t="s">
        <v>3306</v>
      </c>
      <c r="O5" s="2291" t="s">
        <v>1987</v>
      </c>
      <c r="P5" s="2294" t="s">
        <v>1988</v>
      </c>
      <c r="Q5" s="68" t="s">
        <v>1989</v>
      </c>
      <c r="R5" s="2295" t="s">
        <v>1990</v>
      </c>
      <c r="S5" s="2296" t="s">
        <v>1991</v>
      </c>
      <c r="T5" s="2297" t="s">
        <v>1992</v>
      </c>
      <c r="U5" s="1265" t="s">
        <v>1993</v>
      </c>
      <c r="V5" s="1266" t="s">
        <v>1994</v>
      </c>
      <c r="W5" s="1266" t="s">
        <v>1995</v>
      </c>
      <c r="X5" s="70"/>
      <c r="Y5" s="69" t="s">
        <v>1996</v>
      </c>
      <c r="Z5" s="2298" t="s">
        <v>1993</v>
      </c>
      <c r="AA5" s="1266" t="s">
        <v>1994</v>
      </c>
      <c r="AB5" s="1266" t="s">
        <v>1995</v>
      </c>
      <c r="AC5" s="70"/>
      <c r="AD5" s="70" t="s">
        <v>1996</v>
      </c>
      <c r="AE5" s="1265" t="s">
        <v>1997</v>
      </c>
      <c r="AF5" s="1266" t="s">
        <v>1998</v>
      </c>
      <c r="AG5" s="69" t="s">
        <v>1999</v>
      </c>
      <c r="AH5" s="1265" t="s">
        <v>2000</v>
      </c>
      <c r="AI5" s="2298" t="s">
        <v>2001</v>
      </c>
      <c r="AJ5" s="2298" t="s">
        <v>2002</v>
      </c>
      <c r="AK5" s="1266" t="s">
        <v>2003</v>
      </c>
      <c r="AL5" s="1266" t="s">
        <v>2004</v>
      </c>
      <c r="AM5" s="69" t="s">
        <v>2005</v>
      </c>
      <c r="AN5" s="2299" t="s">
        <v>2006</v>
      </c>
      <c r="AO5" s="2069" t="s">
        <v>2007</v>
      </c>
      <c r="AP5" s="1247" t="s">
        <v>2008</v>
      </c>
      <c r="AQ5" s="2300" t="s">
        <v>2009</v>
      </c>
      <c r="AR5" s="2300"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住宅</v>
      </c>
      <c r="B6" s="2302" t="str">
        <f>IF(A6=0,"","经营性")</f>
        <v>经营性</v>
      </c>
      <c r="C6" s="2303" t="s">
        <v>3101</v>
      </c>
      <c r="D6" s="1049">
        <f>SUMIF(项目基本情况!D$12:I$12,C6,项目基本情况!D$14:I$14)</f>
        <v>50</v>
      </c>
      <c r="E6" s="1046">
        <f>IF(B6="","",SUMIF(项目基本情况!D$12:I$12,C6,项目基本情况!D$13:I$13))</f>
        <v>60143</v>
      </c>
      <c r="F6" s="71">
        <f>SUMIF(项目基本情况!D$12:I$12,C6,项目基本情况!D$15:I$15)</f>
        <v>46.46</v>
      </c>
      <c r="G6" s="72">
        <f>IF(ISERROR(ROUND(POWER(1+H6,D6-F6)*(POWER(1+H6,F6)-1)/(POWER(1+H6,D6)-1),3)),0,ROUND(POWER(1+H6,D6-F6)*(POWER(1+H6,F6)-1)/(POWER(1+H6,D6)-1),3))</f>
        <v>0.97899999999999998</v>
      </c>
      <c r="H6" s="800">
        <v>4.4999999999999998E-2</v>
      </c>
      <c r="I6" s="800">
        <v>0.05</v>
      </c>
      <c r="J6" s="73">
        <v>8.5000000000000006E-2</v>
      </c>
      <c r="K6" s="1249">
        <f>SUMIF('数据-汇总表'!C$19:C$33,A6,'数据-汇总表'!E$19:E$33)</f>
        <v>2154.4800000000009</v>
      </c>
      <c r="L6" s="801">
        <v>1800</v>
      </c>
      <c r="M6" s="74">
        <f t="shared" ref="M6:M14" si="0">ROUND(K6*L6/10000,0)</f>
        <v>388</v>
      </c>
      <c r="N6" s="799">
        <v>1</v>
      </c>
      <c r="O6" s="74" t="str">
        <f>IF($N$5="成新度","——",ROUND(M6*N6,0))</f>
        <v>——</v>
      </c>
      <c r="P6" s="75" t="str">
        <f>IF($N$5="成新度","——",M6-O6)</f>
        <v>——</v>
      </c>
      <c r="Q6" s="802">
        <v>0.15</v>
      </c>
      <c r="R6" s="76">
        <f ca="1">SUMIF('数据-汇总表'!C$19:C$33,A6,'数据-汇总表'!R$19:R$27)</f>
        <v>602.99</v>
      </c>
      <c r="S6" s="53">
        <f>IF('数据-汇总表'!$I$17="按面积比例",SUMIF('数据-汇总表'!C$19:C$33,A6,'数据-汇总表'!K$19:K$33),SUMIF('数据-汇总表'!C$19:C$33,A6,'数据-汇总表'!N$19:N$33))</f>
        <v>0</v>
      </c>
      <c r="T6" s="1441">
        <f>ROUND($L$14*S6/10000,0)</f>
        <v>0</v>
      </c>
      <c r="U6" s="77"/>
      <c r="V6" s="78"/>
      <c r="W6" s="78"/>
      <c r="X6" s="1259"/>
      <c r="Y6" s="79"/>
      <c r="Z6" s="80"/>
      <c r="AA6" s="73"/>
      <c r="AB6" s="73"/>
      <c r="AC6" s="1259"/>
      <c r="AD6" s="81"/>
      <c r="AE6" s="1260">
        <f ca="1">IF(AN6="",0,SUMIF(INDIRECT("'"&amp;AN6&amp;"'"&amp;"!E:E"),$AE$5,INDIRECT("'"&amp;AN6&amp;"'"&amp;"!F:F")))</f>
        <v>0</v>
      </c>
      <c r="AF6" s="1802"/>
      <c r="AG6" s="146">
        <f>IF(AF6="",0,AE6-AF6)</f>
        <v>0</v>
      </c>
      <c r="AH6" s="82"/>
      <c r="AI6" s="84"/>
      <c r="AJ6" s="85"/>
      <c r="AK6" s="86"/>
      <c r="AL6" s="87"/>
      <c r="AM6" s="88"/>
      <c r="AN6" s="2304"/>
      <c r="AO6" s="54" t="e">
        <f ca="1">SUMIF(INDIRECT("'"&amp;AN6&amp;"'"&amp;"!A:A"),"总价",INDIRECT("'"&amp;AN6&amp;"'"&amp;"!B:B"))</f>
        <v>#REF!</v>
      </c>
      <c r="AP6" s="2305">
        <f>IF(C6="住宅",K6*L6,0)</f>
        <v>3878064.0000000019</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t="s">
        <v>1377</v>
      </c>
      <c r="D7" s="1049">
        <f>SUMIF(项目基本情况!D$12:I$12,C7,项目基本情况!D$14:I$14)</f>
        <v>40</v>
      </c>
      <c r="E7" s="1046">
        <f>IF(B7="","",SUMIF(项目基本情况!D$12:I$12,C7,项目基本情况!D$13:I$13))</f>
        <v>56490</v>
      </c>
      <c r="F7" s="71">
        <f>SUMIF(项目基本情况!D$12:I$12,C7,项目基本情况!D$15:I$15)</f>
        <v>36.450000000000003</v>
      </c>
      <c r="G7" s="72">
        <f t="shared" ref="G7:G11" si="2">IF(ISERROR(ROUND(POWER(1+H7,D7-F7)*(POWER(1+H7,F7)-1)/(POWER(1+H7,D7)-1),3)),0,ROUND(POWER(1+H7,D7-F7)*(POWER(1+H7,F7)-1)/(POWER(1+H7,D7)-1),3))</f>
        <v>0.96899999999999997</v>
      </c>
      <c r="H7" s="800">
        <v>0.05</v>
      </c>
      <c r="I7" s="800">
        <v>5.5E-2</v>
      </c>
      <c r="J7" s="73">
        <v>8.5000000000000006E-2</v>
      </c>
      <c r="K7" s="1249">
        <f>SUMIF('数据-汇总表'!C$19:C$33,A7,'数据-汇总表'!E$19:E$33)</f>
        <v>1062.73</v>
      </c>
      <c r="L7" s="801">
        <v>2200</v>
      </c>
      <c r="M7" s="74">
        <f t="shared" si="0"/>
        <v>234</v>
      </c>
      <c r="N7" s="799">
        <v>1</v>
      </c>
      <c r="O7" s="74" t="str">
        <f t="shared" ref="O7:O14" si="3">IF($N$5="成新度","——",ROUND(M7*N7,0))</f>
        <v>——</v>
      </c>
      <c r="P7" s="75" t="str">
        <f t="shared" ref="P7:P14" si="4">IF($N$5="成新度","——",M7-O7)</f>
        <v>——</v>
      </c>
      <c r="Q7" s="802">
        <v>0.25</v>
      </c>
      <c r="R7" s="76">
        <f ca="1">SUMIF('数据-汇总表'!C$19:C$33,A7,'数据-汇总表'!R$19:R$27)</f>
        <v>297.44</v>
      </c>
      <c r="S7" s="53">
        <f>IF('数据-汇总表'!$I$17="按面积比例",SUMIF('数据-汇总表'!C$19:C$33,A7,'数据-汇总表'!K$19:K$33),SUMIF('数据-汇总表'!C$19:C$33,A7,'数据-汇总表'!N$19:N$33))</f>
        <v>0</v>
      </c>
      <c r="T7" s="1441">
        <f t="shared" ref="T7:T13" si="5">ROUND($L$14*S7/10000,0)</f>
        <v>0</v>
      </c>
      <c r="U7" s="803">
        <v>2.8</v>
      </c>
      <c r="V7" s="804">
        <v>0.03</v>
      </c>
      <c r="W7" s="804">
        <v>0.1</v>
      </c>
      <c r="X7" s="1259"/>
      <c r="Y7" s="2999">
        <v>1</v>
      </c>
      <c r="Z7" s="80"/>
      <c r="AA7" s="73"/>
      <c r="AB7" s="73"/>
      <c r="AC7" s="1259"/>
      <c r="AD7" s="81">
        <v>1</v>
      </c>
      <c r="AE7" s="1260">
        <f t="shared" ref="AE7:AE13" ca="1" si="6">IF(AN7="",0,SUMIF(INDIRECT("'"&amp;AN7&amp;"'"&amp;"!E:E"),$AE$5,INDIRECT("'"&amp;AN7&amp;"'"&amp;"!F:F")))</f>
        <v>36.450000000000003</v>
      </c>
      <c r="AF7" s="1802"/>
      <c r="AG7" s="146">
        <f t="shared" ref="AG7:AG13" si="7">IF(AF7="",0,AE7-AF7)</f>
        <v>0</v>
      </c>
      <c r="AH7" s="82"/>
      <c r="AI7" s="84">
        <v>365</v>
      </c>
      <c r="AJ7" s="85"/>
      <c r="AK7" s="86">
        <v>1.4999999999999999E-2</v>
      </c>
      <c r="AL7" s="87">
        <v>1.5E-3</v>
      </c>
      <c r="AM7" s="88">
        <v>0.01</v>
      </c>
      <c r="AN7" s="2304" t="s">
        <v>3187</v>
      </c>
      <c r="AO7" s="54">
        <f t="shared" ref="AO7:AO13" ca="1" si="8">SUMIF(INDIRECT("'"&amp;AN7&amp;"'"&amp;"!A:A"),"总价",INDIRECT("'"&amp;AN7&amp;"'"&amp;"!B:B"))</f>
        <v>1709</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1">
        <f>SUMIF(项目基本情况!D$12:I$12,C8,项目基本情况!D$15:I$15)</f>
        <v>0</v>
      </c>
      <c r="G8" s="72">
        <f t="shared" si="2"/>
        <v>0</v>
      </c>
      <c r="H8" s="800"/>
      <c r="I8" s="800"/>
      <c r="J8" s="73"/>
      <c r="K8" s="1249">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1">
        <f t="shared" si="5"/>
        <v>0</v>
      </c>
      <c r="U8" s="803"/>
      <c r="V8" s="804"/>
      <c r="W8" s="804"/>
      <c r="X8" s="1259"/>
      <c r="Y8" s="805"/>
      <c r="Z8" s="80"/>
      <c r="AA8" s="73"/>
      <c r="AB8" s="73"/>
      <c r="AC8" s="1259"/>
      <c r="AD8" s="81"/>
      <c r="AE8" s="1260">
        <f t="shared" ca="1" si="6"/>
        <v>0</v>
      </c>
      <c r="AF8" s="1802"/>
      <c r="AG8" s="146">
        <f t="shared" si="7"/>
        <v>0</v>
      </c>
      <c r="AH8" s="806"/>
      <c r="AI8" s="84"/>
      <c r="AJ8" s="85"/>
      <c r="AK8" s="86"/>
      <c r="AL8" s="87"/>
      <c r="AM8" s="88"/>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2011</v>
      </c>
      <c r="B14" s="2302" t="s">
        <v>2012</v>
      </c>
      <c r="C14" s="2307" t="s">
        <v>2011</v>
      </c>
      <c r="D14" s="1049"/>
      <c r="E14" s="1046"/>
      <c r="F14" s="71"/>
      <c r="G14" s="72"/>
      <c r="H14" s="1248"/>
      <c r="I14" s="1248"/>
      <c r="J14" s="1248"/>
      <c r="K14" s="1249">
        <f>SUMIF('数据-汇总表'!C$19:C$33,A14,'数据-汇总表'!E$19:E$33)</f>
        <v>0</v>
      </c>
      <c r="L14" s="90">
        <v>1800</v>
      </c>
      <c r="M14" s="74">
        <f t="shared" si="0"/>
        <v>0</v>
      </c>
      <c r="N14" s="91">
        <v>0.95</v>
      </c>
      <c r="O14" s="74" t="str">
        <f t="shared" si="3"/>
        <v>——</v>
      </c>
      <c r="P14" s="75" t="str">
        <f t="shared" si="4"/>
        <v>——</v>
      </c>
      <c r="Q14" s="1252"/>
      <c r="R14" s="76"/>
      <c r="S14" s="53"/>
      <c r="T14" s="1441"/>
      <c r="U14" s="721"/>
      <c r="V14" s="1254"/>
      <c r="W14" s="1254"/>
      <c r="X14" s="1255"/>
      <c r="Y14" s="1256"/>
      <c r="Z14" s="1257"/>
      <c r="AA14" s="1258"/>
      <c r="AB14" s="1258"/>
      <c r="AC14" s="1259"/>
      <c r="AD14" s="1255"/>
      <c r="AE14" s="1260"/>
      <c r="AF14" s="54"/>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2013</v>
      </c>
      <c r="B15" s="2302" t="s">
        <v>2012</v>
      </c>
      <c r="C15" s="2307" t="s">
        <v>2014</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1"/>
      <c r="V15" s="1254"/>
      <c r="W15" s="1254"/>
      <c r="X15" s="1255"/>
      <c r="Y15" s="1256"/>
      <c r="Z15" s="1257"/>
      <c r="AA15" s="1258"/>
      <c r="AB15" s="1258"/>
      <c r="AC15" s="1259"/>
      <c r="AD15" s="1255"/>
      <c r="AE15" s="1260"/>
      <c r="AF15" s="54"/>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2015</v>
      </c>
      <c r="B16" s="96"/>
      <c r="C16" s="1003"/>
      <c r="D16" s="2309"/>
      <c r="E16" s="96"/>
      <c r="F16" s="96"/>
      <c r="G16" s="97">
        <f>ROUND(SUMPRODUCT(G6:G13,K6:K13)/SUMPRODUCT((G6:G13&gt;0)*(K6:K13)),3)</f>
        <v>0.97599999999999998</v>
      </c>
      <c r="H16" s="98">
        <f>ROUND(SUMPRODUCT(H6:H13,K6:K13)/SUMPRODUCT((H6:H13&gt;0)*(K6:K13)),3)</f>
        <v>4.7E-2</v>
      </c>
      <c r="I16" s="99"/>
      <c r="J16" s="99"/>
      <c r="K16" s="100">
        <f>SUM(K6:K15)</f>
        <v>3217.2100000000009</v>
      </c>
      <c r="L16" s="101">
        <f>ROUND(M16*10000/SUM(K6:K14),0)</f>
        <v>1933</v>
      </c>
      <c r="M16" s="101">
        <f>SUM(M6:M14)</f>
        <v>622</v>
      </c>
      <c r="N16" s="102">
        <f>ROUND(SUMPRODUCT(M6:M14,N6:N14)/M16,3)</f>
        <v>1</v>
      </c>
      <c r="O16" s="101">
        <f>SUM(O6:O14)</f>
        <v>0</v>
      </c>
      <c r="P16" s="101">
        <f>SUM(P6:P14)</f>
        <v>0</v>
      </c>
      <c r="Q16" s="103">
        <f>ROUND(SUMPRODUCT(Q6:Q13,K6:K13)/SUMPRODUCT((Q6:Q13&gt;0)*(K6:K13)),2)</f>
        <v>0.18</v>
      </c>
      <c r="R16" s="1253">
        <f ca="1">SUM(R6:R13)</f>
        <v>900.43000000000006</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2016</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2017</v>
      </c>
      <c r="B19" s="111">
        <v>0</v>
      </c>
      <c r="C19" s="2272" t="s">
        <v>2018</v>
      </c>
      <c r="D19" s="2273"/>
      <c r="E19" s="2272"/>
      <c r="F19" s="2272"/>
      <c r="G19" s="2272"/>
      <c r="H19" s="2272"/>
      <c r="I19" s="2272"/>
      <c r="J19" s="2272"/>
      <c r="K19" s="167"/>
      <c r="L19" s="167"/>
      <c r="M19" s="1579"/>
      <c r="N19" s="1579"/>
      <c r="O19" s="1579"/>
      <c r="P19" s="1579"/>
      <c r="Q19" s="1579"/>
      <c r="R19" s="1579"/>
      <c r="S19" s="1579"/>
      <c r="T19" s="1579"/>
      <c r="U19" s="2978" t="s">
        <v>3191</v>
      </c>
      <c r="V19" s="1579">
        <v>0.8</v>
      </c>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2019</v>
      </c>
      <c r="B20" s="112">
        <v>2</v>
      </c>
      <c r="C20" s="2272" t="s">
        <v>2020</v>
      </c>
      <c r="D20" s="2273"/>
      <c r="E20" s="2272"/>
      <c r="F20" s="2272"/>
      <c r="G20" s="2272"/>
      <c r="H20" s="2272"/>
      <c r="I20" s="2272"/>
      <c r="J20" s="2272"/>
      <c r="K20" s="167"/>
      <c r="L20" s="167"/>
      <c r="M20" s="1579"/>
      <c r="N20" s="1579"/>
      <c r="O20" s="1579"/>
      <c r="P20" s="1579"/>
      <c r="Q20" s="1579"/>
      <c r="R20" s="1579"/>
      <c r="S20" s="1579"/>
      <c r="T20" s="1579"/>
      <c r="U20" s="2978" t="s">
        <v>3190</v>
      </c>
      <c r="V20" s="1579">
        <v>1</v>
      </c>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2021</v>
      </c>
      <c r="B21" s="112">
        <v>2</v>
      </c>
      <c r="C21" s="2272"/>
      <c r="D21" s="2273"/>
      <c r="E21" s="2272"/>
      <c r="F21" s="2272"/>
      <c r="G21" s="2272"/>
      <c r="H21" s="2272"/>
      <c r="I21" s="2272"/>
      <c r="J21" s="2272"/>
      <c r="K21" s="167"/>
      <c r="L21" s="167"/>
      <c r="M21" s="1579"/>
      <c r="N21" s="1579"/>
      <c r="O21" s="1579"/>
      <c r="P21" s="1579"/>
      <c r="Q21" s="1579"/>
      <c r="R21" s="1579"/>
      <c r="S21" s="1579"/>
      <c r="T21" s="1579"/>
      <c r="U21" s="2978" t="s">
        <v>3192</v>
      </c>
      <c r="V21" s="1579">
        <v>0.6</v>
      </c>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2022</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2023</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2024</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2025</v>
      </c>
      <c r="B26" s="2315" t="s">
        <v>2026</v>
      </c>
      <c r="C26" s="2316" t="s">
        <v>2027</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2028</v>
      </c>
      <c r="B27" s="115">
        <v>290</v>
      </c>
      <c r="C27" s="1762" t="s">
        <v>2029</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2030</v>
      </c>
      <c r="B28" s="118">
        <v>290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2031</v>
      </c>
      <c r="B29" s="120">
        <f ca="1">成本法!C9+成本法!C10</f>
        <v>93</v>
      </c>
      <c r="C29" s="1762" t="s">
        <v>2032</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2033</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2034</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2035</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2036</v>
      </c>
      <c r="B33" s="724">
        <v>0.03</v>
      </c>
      <c r="C33" s="1761" t="s">
        <v>2037</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2038</v>
      </c>
      <c r="B34" s="121">
        <v>0.05</v>
      </c>
      <c r="C34" s="1761" t="s">
        <v>2039</v>
      </c>
      <c r="D34" s="2273" t="s">
        <v>2040</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2041</v>
      </c>
      <c r="B35" s="118">
        <v>200</v>
      </c>
      <c r="C35" s="1761" t="s">
        <v>2042</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2043</v>
      </c>
      <c r="B36" s="122">
        <v>1.4999999999999999E-2</v>
      </c>
      <c r="C36" s="1761" t="s">
        <v>2044</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2045</v>
      </c>
      <c r="B37" s="123">
        <v>0.02</v>
      </c>
      <c r="C37" s="1761" t="s">
        <v>2046</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2047</v>
      </c>
      <c r="B38" s="121">
        <v>0.02</v>
      </c>
      <c r="C38" s="1761" t="s">
        <v>2046</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2048</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2049</v>
      </c>
      <c r="B40" s="1298">
        <f ca="1">存贷款利率!G1</f>
        <v>4.7500000000000001E-2</v>
      </c>
      <c r="C40" s="1761" t="s">
        <v>2050</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2051</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2052</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2053</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2054</v>
      </c>
      <c r="B44" s="127">
        <v>7.0000000000000007E-2</v>
      </c>
      <c r="C44" s="1761" t="s">
        <v>2055</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2056</v>
      </c>
      <c r="B45" s="125">
        <v>0.03</v>
      </c>
      <c r="C45" s="1762" t="s">
        <v>2057</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2058</v>
      </c>
      <c r="B46" s="125">
        <v>0.02</v>
      </c>
      <c r="C46" s="1762" t="s">
        <v>2059</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2060</v>
      </c>
      <c r="B47" s="128"/>
      <c r="C47" s="1762" t="s">
        <v>2061</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2062</v>
      </c>
      <c r="B48" s="129">
        <v>0.03</v>
      </c>
      <c r="C48" s="1769" t="s">
        <v>2063</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2064</v>
      </c>
      <c r="B49" s="125">
        <v>5.0000000000000001E-4</v>
      </c>
      <c r="C49" s="1769" t="s">
        <v>2065</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2066</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2067</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2068</v>
      </c>
      <c r="B52" s="132">
        <f>SUMIF(A54:A63,B53,B54:B63)</f>
        <v>20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2069</v>
      </c>
      <c r="B53" s="2331" t="s">
        <v>212</v>
      </c>
      <c r="C53" s="1425" t="s">
        <v>2070</v>
      </c>
      <c r="D53" s="2332" t="s">
        <v>2071</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2072</v>
      </c>
      <c r="B54" s="83">
        <v>20</v>
      </c>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2073</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2074</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2075</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2076</v>
      </c>
      <c r="B58" s="83"/>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2077</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2078</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2079</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2080</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2081</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7" t="s">
        <v>2082</v>
      </c>
      <c r="B1" s="3108"/>
      <c r="C1" s="3108"/>
      <c r="D1" s="3108"/>
      <c r="E1" s="3108"/>
      <c r="F1" s="3108"/>
      <c r="G1" s="310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2083</v>
      </c>
      <c r="D2" s="2361"/>
      <c r="E2" s="2362"/>
      <c r="F2" s="2281"/>
      <c r="G2" s="2360" t="s">
        <v>2084</v>
      </c>
      <c r="H2" s="2363"/>
      <c r="I2" s="2363"/>
      <c r="J2" s="2363"/>
      <c r="K2" s="2363"/>
      <c r="L2" s="2363"/>
      <c r="M2" s="2363"/>
      <c r="N2" s="2363"/>
      <c r="O2" s="2363"/>
      <c r="P2" s="2363"/>
      <c r="Q2" s="2363"/>
      <c r="R2" s="2363"/>
    </row>
    <row r="3" spans="1:29" ht="54">
      <c r="A3" s="414" t="s">
        <v>2085</v>
      </c>
      <c r="B3" s="1266" t="s">
        <v>2086</v>
      </c>
      <c r="C3" s="2365" t="s">
        <v>2087</v>
      </c>
      <c r="D3" s="2366"/>
      <c r="E3" s="429" t="s">
        <v>2085</v>
      </c>
      <c r="F3" s="2367" t="s">
        <v>2088</v>
      </c>
      <c r="G3" s="2368" t="s">
        <v>2089</v>
      </c>
      <c r="H3" s="2363"/>
      <c r="I3" s="2363"/>
      <c r="J3" s="2363"/>
      <c r="K3" s="2363"/>
      <c r="L3" s="2363"/>
      <c r="M3" s="2363"/>
      <c r="N3" s="2363"/>
      <c r="O3" s="2363"/>
      <c r="P3" s="2363"/>
      <c r="Q3" s="2363"/>
      <c r="R3" s="2363"/>
    </row>
    <row r="4" spans="1:29" ht="41.25">
      <c r="A4" s="429"/>
      <c r="B4" s="1793" t="s">
        <v>2090</v>
      </c>
      <c r="C4" s="2369" t="s">
        <v>2091</v>
      </c>
      <c r="D4" s="2366"/>
      <c r="E4" s="2370"/>
      <c r="F4" s="41" t="s">
        <v>2092</v>
      </c>
      <c r="G4" s="2371" t="s">
        <v>2093</v>
      </c>
      <c r="H4" s="2363"/>
      <c r="I4" s="2363"/>
      <c r="J4" s="2363"/>
      <c r="K4" s="2363"/>
      <c r="L4" s="2363"/>
      <c r="M4" s="2363"/>
      <c r="N4" s="2363"/>
      <c r="O4" s="2363"/>
      <c r="P4" s="2363"/>
      <c r="Q4" s="2363"/>
      <c r="R4" s="2363"/>
    </row>
    <row r="5" spans="1:29" ht="41.25">
      <c r="A5" s="429"/>
      <c r="B5" s="1793" t="s">
        <v>2094</v>
      </c>
      <c r="C5" s="2369" t="s">
        <v>2095</v>
      </c>
      <c r="D5" s="2366"/>
      <c r="E5" s="2370"/>
      <c r="F5" s="1793" t="s">
        <v>2096</v>
      </c>
      <c r="G5" s="2371" t="s">
        <v>2097</v>
      </c>
      <c r="H5" s="2363"/>
      <c r="I5" s="2363"/>
      <c r="J5" s="2363"/>
      <c r="K5" s="2363"/>
      <c r="L5" s="2363"/>
      <c r="M5" s="2363"/>
      <c r="N5" s="2363"/>
      <c r="O5" s="2363"/>
      <c r="P5" s="2363"/>
      <c r="Q5" s="2363"/>
      <c r="R5" s="2363"/>
    </row>
    <row r="6" spans="1:29" ht="54">
      <c r="A6" s="429"/>
      <c r="B6" s="1793" t="s">
        <v>2098</v>
      </c>
      <c r="C6" s="2371" t="s">
        <v>2093</v>
      </c>
      <c r="D6" s="2366"/>
      <c r="E6" s="2370"/>
      <c r="F6" s="1793" t="s">
        <v>2099</v>
      </c>
      <c r="G6" s="2371" t="s">
        <v>2100</v>
      </c>
      <c r="H6" s="2363"/>
      <c r="I6" s="2363"/>
      <c r="J6" s="2363"/>
      <c r="K6" s="2363"/>
      <c r="L6" s="2363"/>
      <c r="M6" s="2363"/>
      <c r="N6" s="2363"/>
      <c r="O6" s="2363"/>
      <c r="P6" s="2363"/>
      <c r="Q6" s="2363"/>
      <c r="R6" s="2363"/>
    </row>
    <row r="7" spans="1:29" ht="41.25" thickBot="1">
      <c r="A7" s="429"/>
      <c r="B7" s="1793" t="s">
        <v>2096</v>
      </c>
      <c r="C7" s="2371" t="s">
        <v>2097</v>
      </c>
      <c r="D7" s="2372"/>
      <c r="E7" s="2373"/>
      <c r="F7" s="2374" t="s">
        <v>2101</v>
      </c>
      <c r="G7" s="2375" t="s">
        <v>2102</v>
      </c>
      <c r="H7" s="2363"/>
      <c r="I7" s="2363"/>
      <c r="J7" s="2363"/>
      <c r="K7" s="2363"/>
      <c r="L7" s="2363"/>
      <c r="M7" s="2363"/>
      <c r="N7" s="2363"/>
      <c r="O7" s="2363"/>
      <c r="P7" s="2363"/>
      <c r="Q7" s="2363"/>
      <c r="R7" s="2363"/>
    </row>
    <row r="8" spans="1:29" ht="27">
      <c r="A8" s="429"/>
      <c r="B8" s="1793" t="s">
        <v>2099</v>
      </c>
      <c r="C8" s="2371" t="s">
        <v>2100</v>
      </c>
      <c r="D8" s="2372"/>
      <c r="E8" s="2372"/>
      <c r="F8" s="1131"/>
      <c r="G8" s="1131"/>
      <c r="H8" s="2363"/>
      <c r="I8" s="2363"/>
      <c r="J8" s="2363"/>
      <c r="K8" s="2363"/>
      <c r="L8" s="2363"/>
      <c r="M8" s="2363"/>
      <c r="N8" s="2363"/>
      <c r="O8" s="2363"/>
      <c r="P8" s="2363"/>
      <c r="Q8" s="2363"/>
      <c r="R8" s="2363"/>
    </row>
    <row r="9" spans="1:29" ht="27">
      <c r="A9" s="429"/>
      <c r="B9" s="1793" t="s">
        <v>2103</v>
      </c>
      <c r="C9" s="2369" t="s">
        <v>2104</v>
      </c>
      <c r="D9" s="2366"/>
      <c r="E9" s="2372"/>
      <c r="F9" s="1131"/>
      <c r="G9" s="1131"/>
      <c r="H9" s="2363"/>
      <c r="I9" s="2363"/>
      <c r="J9" s="2363"/>
      <c r="K9" s="2363"/>
      <c r="L9" s="2363"/>
      <c r="M9" s="2363"/>
      <c r="N9" s="2363"/>
      <c r="O9" s="2363"/>
      <c r="P9" s="2363"/>
      <c r="Q9" s="2363"/>
      <c r="R9" s="2363"/>
    </row>
    <row r="10" spans="1:29" s="116" customFormat="1" ht="15.75" thickBot="1">
      <c r="A10" s="2376"/>
      <c r="B10" s="2377" t="s">
        <v>2105</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2106</v>
      </c>
      <c r="B13" s="2383"/>
      <c r="C13" s="2383"/>
      <c r="D13" s="2390"/>
      <c r="E13" s="2383"/>
      <c r="F13" s="2383"/>
      <c r="G13" s="2383"/>
    </row>
    <row r="14" spans="1:29" ht="15.75" thickBot="1">
      <c r="A14" s="2394"/>
      <c r="B14" s="2395"/>
      <c r="C14" s="2396" t="s">
        <v>2107</v>
      </c>
      <c r="D14" s="2366"/>
      <c r="E14" s="2397"/>
      <c r="F14" s="2397"/>
      <c r="G14" s="2360" t="s">
        <v>2108</v>
      </c>
    </row>
    <row r="15" spans="1:29" ht="57">
      <c r="A15" s="67" t="s">
        <v>2109</v>
      </c>
      <c r="B15" s="1265" t="s">
        <v>2086</v>
      </c>
      <c r="C15" s="2398" t="str">
        <f>C3</f>
        <v>估价对象周边居住用地比例、居住小区规模和社区发展完善程度，综合评价居住社区成熟度一般</v>
      </c>
      <c r="D15" s="2366"/>
      <c r="E15" s="2399" t="s">
        <v>2110</v>
      </c>
      <c r="F15" s="1265" t="s">
        <v>2111</v>
      </c>
      <c r="G15" s="134" t="str">
        <f>G3</f>
        <v>估价对象位于XX开发区，园区建设成熟度XX，产业集聚程度XX</v>
      </c>
    </row>
    <row r="16" spans="1:29" ht="42.75">
      <c r="A16" s="643"/>
      <c r="B16" s="2400" t="s">
        <v>2090</v>
      </c>
      <c r="C16" s="2401" t="str">
        <f>C4</f>
        <v>估价对象位于XX商圈，周边商业氛围成熟，人流量大，商业繁华度好</v>
      </c>
      <c r="D16" s="2366"/>
      <c r="E16" s="2402"/>
      <c r="F16" s="2403" t="s">
        <v>2092</v>
      </c>
      <c r="G16" s="135" t="str">
        <f>G4</f>
        <v>估价对象周边道路状况、公共交通通达情况、停车便捷程度，综合评价交通便捷度较好</v>
      </c>
    </row>
    <row r="17" spans="1:18" ht="42.75">
      <c r="A17" s="643"/>
      <c r="B17" s="2400" t="s">
        <v>2094</v>
      </c>
      <c r="C17" s="2401" t="str">
        <f>C5</f>
        <v>估价对象位于XX商圈，周边办公楼项目较多，入驻率高，办公集聚程度较好</v>
      </c>
      <c r="D17" s="2372"/>
      <c r="E17" s="2402"/>
      <c r="F17" s="2403" t="s">
        <v>2112</v>
      </c>
      <c r="G17" s="1567"/>
    </row>
    <row r="18" spans="1:18" ht="57">
      <c r="A18" s="643"/>
      <c r="B18" s="2403" t="s">
        <v>2098</v>
      </c>
      <c r="C18" s="135" t="str">
        <f>C6</f>
        <v>估价对象周边道路状况、公共交通通达情况、停车便捷程度，综合评价交通便捷度较好</v>
      </c>
      <c r="D18" s="2372"/>
      <c r="E18" s="2402"/>
      <c r="F18" s="2403" t="s">
        <v>2101</v>
      </c>
      <c r="G18" s="135" t="str">
        <f>G7</f>
        <v>该园区内是否有污染型企业，绿化情况，卫生条件，整体环境状况判断</v>
      </c>
    </row>
    <row r="19" spans="1:18" ht="28.5">
      <c r="A19" s="643"/>
      <c r="B19" s="2403" t="s">
        <v>2113</v>
      </c>
      <c r="C19" s="1567"/>
      <c r="D19" s="2366"/>
      <c r="E19" s="2402"/>
      <c r="F19" s="1793" t="s">
        <v>2096</v>
      </c>
      <c r="G19" s="135" t="str">
        <f>G5</f>
        <v>估价对象所在区域公共配套设施齐备情况</v>
      </c>
    </row>
    <row r="20" spans="1:18" ht="28.5">
      <c r="A20" s="643"/>
      <c r="B20" s="2403" t="s">
        <v>2114</v>
      </c>
      <c r="C20" s="2401" t="str">
        <f>C9</f>
        <v>区域自然环境：；人文环境；综合评价环境状况一般</v>
      </c>
      <c r="D20" s="2372"/>
      <c r="E20" s="2402"/>
      <c r="F20" s="1793" t="s">
        <v>2115</v>
      </c>
      <c r="G20" s="135" t="str">
        <f>G6</f>
        <v>估价对象所在区域基础设施水平</v>
      </c>
    </row>
    <row r="21" spans="1:18" ht="28.5">
      <c r="A21" s="643"/>
      <c r="B21" s="1793" t="s">
        <v>2096</v>
      </c>
      <c r="C21" s="135" t="str">
        <f>C7</f>
        <v>估价对象所在区域公共配套设施齐备情况</v>
      </c>
      <c r="D21" s="2366"/>
      <c r="E21" s="2402"/>
      <c r="F21" s="2403" t="s">
        <v>2116</v>
      </c>
      <c r="G21" s="2404"/>
    </row>
    <row r="22" spans="1:18" ht="13.5" customHeight="1">
      <c r="A22" s="643"/>
      <c r="B22" s="1793" t="s">
        <v>2099</v>
      </c>
      <c r="C22" s="135" t="str">
        <f>C8</f>
        <v>估价对象所在区域基础设施水平</v>
      </c>
      <c r="D22" s="2366"/>
      <c r="E22" s="2402"/>
      <c r="F22" s="2403" t="s">
        <v>2105</v>
      </c>
      <c r="G22" s="1567"/>
    </row>
    <row r="23" spans="1:18" s="2363" customFormat="1" ht="15.75" thickBot="1">
      <c r="A23" s="643"/>
      <c r="B23" s="2403" t="s">
        <v>2116</v>
      </c>
      <c r="C23" s="2404"/>
      <c r="D23" s="2391"/>
      <c r="E23" s="2405"/>
      <c r="F23" s="2406" t="s">
        <v>2117</v>
      </c>
      <c r="G23" s="2407"/>
      <c r="H23" s="2391"/>
      <c r="I23" s="2392"/>
      <c r="J23" s="2391"/>
      <c r="K23" s="2391"/>
      <c r="L23" s="2392"/>
      <c r="M23" s="2391"/>
      <c r="N23" s="2391"/>
      <c r="O23" s="2392"/>
      <c r="P23" s="2391"/>
      <c r="Q23" s="2391"/>
      <c r="R23" s="2393"/>
    </row>
    <row r="24" spans="1:18" s="2363" customFormat="1" ht="15.75" thickBot="1">
      <c r="A24" s="2408"/>
      <c r="B24" s="2406" t="s">
        <v>2118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31" sqref="D31"/>
    </sheetView>
  </sheetViews>
  <sheetFormatPr defaultRowHeight="13.5"/>
  <cols>
    <col min="1" max="1" width="23.375" style="1736" customWidth="1"/>
    <col min="2" max="9" width="15.75" style="1736" customWidth="1"/>
    <col min="10" max="16384" width="9" style="1736"/>
  </cols>
  <sheetData>
    <row r="1" spans="1:10" ht="16.5">
      <c r="A1" s="1741" t="s">
        <v>1365</v>
      </c>
      <c r="B1" s="1741">
        <f>SUM(B14:B23)</f>
        <v>3217.2100000000009</v>
      </c>
      <c r="C1" s="1740"/>
      <c r="D1" s="1740"/>
      <c r="E1" s="1740"/>
      <c r="F1" s="1740"/>
      <c r="G1" s="1738"/>
    </row>
    <row r="2" spans="1:10" ht="16.5">
      <c r="A2" s="1741" t="s">
        <v>1353</v>
      </c>
      <c r="B2" s="1741">
        <f>SUM(C14:C23)</f>
        <v>900.43</v>
      </c>
      <c r="C2" s="1740"/>
      <c r="D2" s="1740"/>
      <c r="E2" s="1740"/>
      <c r="F2" s="1740"/>
      <c r="G2" s="1738"/>
    </row>
    <row r="3" spans="1:10" ht="16.5">
      <c r="A3" s="1741" t="s">
        <v>1362</v>
      </c>
      <c r="B3" s="1742">
        <f>项目基本情况!D3</f>
        <v>43185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4338</v>
      </c>
      <c r="C5" s="1741">
        <f ca="1">ROUND(B5*10000/$B$1,0)</f>
        <v>13484</v>
      </c>
      <c r="D5" s="1741">
        <f ca="1">ROUND(B5*10000/$B$2,0)</f>
        <v>48177</v>
      </c>
      <c r="E5" s="1740"/>
      <c r="F5" s="1738"/>
      <c r="G5" s="1738"/>
    </row>
    <row r="6" spans="1:10" ht="16.5">
      <c r="A6" s="1741" t="s">
        <v>1356</v>
      </c>
      <c r="B6" s="1741">
        <f>SUM(G14:G23)</f>
        <v>0</v>
      </c>
      <c r="C6" s="1741">
        <f>ROUND(B6*10000/$B$1,0)</f>
        <v>0</v>
      </c>
      <c r="D6" s="1741">
        <f>ROUND(B6*10000/$B$2,0)</f>
        <v>0</v>
      </c>
      <c r="E6" s="1740"/>
      <c r="F6" s="1738"/>
      <c r="G6" s="1738"/>
    </row>
    <row r="7" spans="1:10" ht="16.5">
      <c r="A7" s="1741" t="s">
        <v>1364</v>
      </c>
      <c r="B7" s="1741" t="e">
        <f ca="1">SUM(H14:H23)</f>
        <v>#N/A</v>
      </c>
      <c r="C7" s="1741" t="e">
        <f ca="1">ROUND(B7*10000/$B$1,0)</f>
        <v>#N/A</v>
      </c>
      <c r="D7" s="1741" t="e">
        <f ca="1">ROUND(B7*10000/$B$2,0)</f>
        <v>#N/A</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3217.2100000000009</v>
      </c>
      <c r="C14" s="1739">
        <f>结果表!C118</f>
        <v>900.43</v>
      </c>
      <c r="D14" s="1739">
        <f ca="1">结果表!J24</f>
        <v>4338</v>
      </c>
      <c r="E14" s="1739">
        <f ca="1">ROUND(D14*10000/B14,0)</f>
        <v>13484</v>
      </c>
      <c r="F14" s="1739">
        <f ca="1">ROUND(D14*10000/C14,0)</f>
        <v>48177</v>
      </c>
      <c r="G14" s="1739" t="str">
        <f>结果表!D122</f>
        <v>——</v>
      </c>
      <c r="H14" s="1739" t="e">
        <f ca="1">结果表!D124</f>
        <v>#N/A</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2119</v>
      </c>
      <c r="B1" s="2414"/>
      <c r="C1" s="2415"/>
      <c r="D1" s="2414"/>
      <c r="E1" s="2414"/>
      <c r="F1" s="2416" t="s">
        <v>2120</v>
      </c>
      <c r="G1" s="2065" t="s">
        <v>2121</v>
      </c>
      <c r="H1" s="2417" t="str">
        <f>IF(G1="现房","——","估价对象范围")</f>
        <v>估价对象范围</v>
      </c>
      <c r="I1" s="2418" t="s">
        <v>3150</v>
      </c>
    </row>
    <row r="2" spans="1:12" ht="21.75" customHeight="1" thickBot="1">
      <c r="A2" s="3181" t="str">
        <f>项目基本情况!S2</f>
        <v>重庆市南岸区弹子石D4-1-1/04、D4-1-2/04地块出让国有建设用地使用权及在建建筑物房地产</v>
      </c>
      <c r="B2" s="3182"/>
      <c r="C2" s="3182"/>
      <c r="D2" s="3182"/>
      <c r="E2" s="3182"/>
      <c r="F2" s="3182"/>
      <c r="G2" s="3182"/>
      <c r="H2" s="3182"/>
      <c r="I2" s="3183"/>
    </row>
    <row r="3" spans="1:12" ht="12.75">
      <c r="A3" s="3184" t="s">
        <v>2122</v>
      </c>
      <c r="B3" s="3185"/>
      <c r="C3" s="3185"/>
      <c r="D3" s="3185"/>
      <c r="E3" s="3185"/>
      <c r="F3" s="3185"/>
      <c r="G3" s="3185"/>
      <c r="H3" s="3185"/>
      <c r="I3" s="3185"/>
    </row>
    <row r="4" spans="1:12" ht="14.25">
      <c r="A4" s="2421" t="s">
        <v>2123</v>
      </c>
      <c r="B4" s="2422" t="s">
        <v>2124</v>
      </c>
      <c r="C4" s="2423" t="s">
        <v>3148</v>
      </c>
      <c r="D4" s="2423" t="s">
        <v>3149</v>
      </c>
      <c r="E4" s="3165" t="s">
        <v>2125</v>
      </c>
      <c r="F4" s="3178"/>
      <c r="G4" s="3178"/>
      <c r="H4" s="3178"/>
      <c r="I4" s="316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56" t="s">
        <v>2126</v>
      </c>
      <c r="B5" s="3077">
        <v>25</v>
      </c>
      <c r="C5" s="3186"/>
      <c r="D5" s="3174"/>
      <c r="E5" s="139" t="s">
        <v>2127</v>
      </c>
      <c r="F5" s="2425"/>
      <c r="G5" s="2425"/>
      <c r="H5" s="2425"/>
      <c r="I5" s="1829"/>
    </row>
    <row r="6" spans="1:12" ht="12.75">
      <c r="A6" s="3156"/>
      <c r="B6" s="3077"/>
      <c r="C6" s="3188"/>
      <c r="D6" s="3174"/>
      <c r="E6" s="139" t="s">
        <v>2128</v>
      </c>
      <c r="F6" s="2425"/>
      <c r="G6" s="2425"/>
      <c r="H6" s="2425"/>
      <c r="I6" s="1829"/>
    </row>
    <row r="7" spans="1:12" ht="12.75">
      <c r="A7" s="3156"/>
      <c r="B7" s="3077"/>
      <c r="C7" s="3187"/>
      <c r="D7" s="3174"/>
      <c r="E7" s="139" t="s">
        <v>2129</v>
      </c>
      <c r="F7" s="2425"/>
      <c r="G7" s="2425"/>
      <c r="H7" s="2425"/>
      <c r="I7" s="1829"/>
    </row>
    <row r="8" spans="1:12" ht="12.75">
      <c r="A8" s="3156" t="s">
        <v>2130</v>
      </c>
      <c r="B8" s="3077">
        <v>15</v>
      </c>
      <c r="C8" s="3186"/>
      <c r="D8" s="3174"/>
      <c r="E8" s="139" t="s">
        <v>2131</v>
      </c>
      <c r="F8" s="2425"/>
      <c r="G8" s="2425"/>
      <c r="H8" s="2425"/>
      <c r="I8" s="1829"/>
    </row>
    <row r="9" spans="1:12" ht="12.75">
      <c r="A9" s="3156"/>
      <c r="B9" s="3077"/>
      <c r="C9" s="3187"/>
      <c r="D9" s="3174"/>
      <c r="E9" s="139" t="s">
        <v>2132</v>
      </c>
      <c r="F9" s="2425"/>
      <c r="G9" s="2425"/>
      <c r="H9" s="2425"/>
      <c r="I9" s="1829"/>
    </row>
    <row r="10" spans="1:12" ht="12.75">
      <c r="A10" s="3156" t="s">
        <v>2133</v>
      </c>
      <c r="B10" s="3077">
        <v>15</v>
      </c>
      <c r="C10" s="3186"/>
      <c r="D10" s="3174"/>
      <c r="E10" s="139" t="s">
        <v>2134</v>
      </c>
      <c r="F10" s="2425"/>
      <c r="G10" s="2425"/>
      <c r="H10" s="2425"/>
      <c r="I10" s="1829"/>
    </row>
    <row r="11" spans="1:12" ht="12.75">
      <c r="A11" s="3156"/>
      <c r="B11" s="3077"/>
      <c r="C11" s="3187"/>
      <c r="D11" s="3174"/>
      <c r="E11" s="139" t="s">
        <v>2135</v>
      </c>
      <c r="F11" s="2425"/>
      <c r="G11" s="2425"/>
      <c r="H11" s="2425"/>
      <c r="I11" s="1829"/>
    </row>
    <row r="12" spans="1:12" ht="12.75">
      <c r="A12" s="3156" t="s">
        <v>2136</v>
      </c>
      <c r="B12" s="3077">
        <v>15</v>
      </c>
      <c r="C12" s="3186"/>
      <c r="D12" s="3174"/>
      <c r="E12" s="139" t="s">
        <v>2137</v>
      </c>
      <c r="F12" s="2425"/>
      <c r="G12" s="2425"/>
      <c r="H12" s="2425"/>
      <c r="I12" s="1829"/>
    </row>
    <row r="13" spans="1:12" ht="12.75">
      <c r="A13" s="3156"/>
      <c r="B13" s="3077"/>
      <c r="C13" s="3187"/>
      <c r="D13" s="3174"/>
      <c r="E13" s="139" t="s">
        <v>2138</v>
      </c>
      <c r="F13" s="2425"/>
      <c r="G13" s="2425"/>
      <c r="H13" s="2425"/>
      <c r="I13" s="1829"/>
    </row>
    <row r="14" spans="1:12" ht="12.75">
      <c r="A14" s="3156" t="s">
        <v>2139</v>
      </c>
      <c r="B14" s="3077">
        <v>30</v>
      </c>
      <c r="C14" s="3186">
        <v>5</v>
      </c>
      <c r="D14" s="3174">
        <v>5</v>
      </c>
      <c r="E14" s="139" t="s">
        <v>2140</v>
      </c>
      <c r="F14" s="2425"/>
      <c r="G14" s="2425"/>
      <c r="H14" s="2425"/>
      <c r="I14" s="1829"/>
    </row>
    <row r="15" spans="1:12" ht="12.75">
      <c r="A15" s="3156"/>
      <c r="B15" s="3077"/>
      <c r="C15" s="3188"/>
      <c r="D15" s="3174"/>
      <c r="E15" s="139" t="s">
        <v>2141</v>
      </c>
      <c r="F15" s="2425"/>
      <c r="G15" s="2425"/>
      <c r="H15" s="2425"/>
      <c r="I15" s="1829"/>
    </row>
    <row r="16" spans="1:12" ht="12.75">
      <c r="A16" s="3156"/>
      <c r="B16" s="3077"/>
      <c r="C16" s="3187"/>
      <c r="D16" s="3174"/>
      <c r="E16" s="139" t="s">
        <v>2142</v>
      </c>
      <c r="F16" s="2425"/>
      <c r="G16" s="2425"/>
      <c r="H16" s="2425"/>
      <c r="I16" s="1829"/>
    </row>
    <row r="17" spans="1:35" ht="15">
      <c r="A17" s="2426" t="s">
        <v>2143</v>
      </c>
      <c r="B17" s="63"/>
      <c r="C17" s="140">
        <f>SUM(C5:C16)</f>
        <v>5</v>
      </c>
      <c r="D17" s="140">
        <f>SUM(D5:D16)</f>
        <v>5</v>
      </c>
      <c r="E17" s="137"/>
      <c r="F17" s="137"/>
      <c r="G17" s="137"/>
      <c r="H17" s="137"/>
      <c r="I17" s="137"/>
      <c r="K17" s="2424"/>
      <c r="L17" s="2427" t="s">
        <v>2144</v>
      </c>
      <c r="M17" s="2427" t="s">
        <v>2145</v>
      </c>
    </row>
    <row r="18" spans="1:35" ht="15.75" thickBot="1">
      <c r="A18" s="2428" t="s">
        <v>2146</v>
      </c>
      <c r="B18" s="2429"/>
      <c r="C18" s="141">
        <f>ROUND(C17/SUM(C17:D17),2)</f>
        <v>0.5</v>
      </c>
      <c r="D18" s="141">
        <f>1-C18</f>
        <v>0.5</v>
      </c>
      <c r="E18" s="137"/>
      <c r="F18" s="137"/>
      <c r="G18" s="137"/>
      <c r="H18" s="137"/>
      <c r="I18" s="137"/>
      <c r="K18" s="2424" t="s">
        <v>2147</v>
      </c>
      <c r="L18" s="2424">
        <f>IF(C1="",'数据-汇总表'!E3,SUMIF(项目类型,C1,'数据-汇总表'!E17:E26)+SUMIF(项目类型,C1,'数据-汇总表'!I17:I26))</f>
        <v>3217.2100000000009</v>
      </c>
      <c r="M18" s="2424">
        <f>IF(C1="",'数据-汇总表'!E3,SUMIF(项目类型,C1,'数据-汇总表'!E17:E26))</f>
        <v>3217.2100000000009</v>
      </c>
    </row>
    <row r="19" spans="1:35" ht="15">
      <c r="A19" s="2430" t="s">
        <v>2148</v>
      </c>
      <c r="B19" s="2431" t="s">
        <v>2149</v>
      </c>
      <c r="C19" s="142">
        <f ca="1">SUMIF(INDIRECT("'"&amp;C4&amp;"'"&amp;"!A:A"),结果表!B19,INDIRECT("'"&amp;C4&amp;"'"&amp;"!B:B"))</f>
        <v>4368</v>
      </c>
      <c r="D19" s="143" t="e">
        <f ca="1">SUMIF(INDIRECT("'"&amp;D4&amp;"'"&amp;"!A:A"),结果表!B19,INDIRECT("'"&amp;D4&amp;"'"&amp;"!B:B"))</f>
        <v>#N/A</v>
      </c>
      <c r="E19" s="2430" t="s">
        <v>2150</v>
      </c>
      <c r="F19" s="2431" t="s">
        <v>2149</v>
      </c>
      <c r="G19" s="144" t="e">
        <f ca="1">ROUND(C19*$C$18+D19*$D$18,0)</f>
        <v>#N/A</v>
      </c>
      <c r="H19" s="2432" t="s">
        <v>2151</v>
      </c>
      <c r="I19" s="137"/>
      <c r="K19" s="2424" t="s">
        <v>2152</v>
      </c>
      <c r="L19" s="2424">
        <f>IF(C1="",'数据-汇总表'!D3,SUMIF(项目类型,C1,'数据-汇总表'!D17:D26)+SUMIF(项目类型,C1,'数据-汇总表'!H17:H27))</f>
        <v>900.43</v>
      </c>
      <c r="M19" s="2424">
        <f>IF(C1="",'数据-汇总表'!D3,SUMIF(项目类型,C1,'数据-汇总表'!D17:D26))</f>
        <v>900.43</v>
      </c>
    </row>
    <row r="20" spans="1:35" ht="15">
      <c r="A20" s="2433"/>
      <c r="B20" s="1245" t="s">
        <v>2153</v>
      </c>
      <c r="C20" s="145">
        <f ca="1">SUMIF(INDIRECT("'"&amp;C4&amp;"'"&amp;"!A:A"),结果表!B20,INDIRECT("'"&amp;C4&amp;"'"&amp;"!B:B"))</f>
        <v>13577</v>
      </c>
      <c r="D20" s="146" t="e">
        <f ca="1">SUMIF(INDIRECT("'"&amp;D4&amp;"'"&amp;"!A:A"),结果表!B20,INDIRECT("'"&amp;D4&amp;"'"&amp;"!B:B"))</f>
        <v>#N/A</v>
      </c>
      <c r="E20" s="2433"/>
      <c r="F20" s="1245" t="s">
        <v>2153</v>
      </c>
      <c r="G20" s="147" t="e">
        <f ca="1">ROUND(C20*$C$18+D20*$D$18,0)</f>
        <v>#N/A</v>
      </c>
      <c r="H20" s="978" t="s">
        <v>2154</v>
      </c>
      <c r="I20" s="137"/>
    </row>
    <row r="21" spans="1:35" ht="15" customHeight="1" thickBot="1">
      <c r="A21" s="998"/>
      <c r="B21" s="2434" t="s">
        <v>2155</v>
      </c>
      <c r="C21" s="787">
        <f ca="1">ROUND(C19*10000/L19,0)</f>
        <v>48510</v>
      </c>
      <c r="D21" s="788" t="e">
        <f ca="1">ROUND(D19*10000/L19,0)</f>
        <v>#N/A</v>
      </c>
      <c r="E21" s="998"/>
      <c r="F21" s="2434" t="s">
        <v>2155</v>
      </c>
      <c r="G21" s="148" t="e">
        <f ca="1">ROUND(G19*10000/L19,0)</f>
        <v>#N/A</v>
      </c>
      <c r="H21" s="2435" t="s">
        <v>2154</v>
      </c>
      <c r="I21" s="137"/>
    </row>
    <row r="22" spans="1:35" ht="15" thickBot="1">
      <c r="A22" s="2276" t="s">
        <v>2156</v>
      </c>
      <c r="B22" s="2436"/>
      <c r="C22" s="2437"/>
      <c r="D22" s="789" t="e">
        <f ca="1">IF(C19&lt;D19,D19/C19-1,C19/D19-1)</f>
        <v>#N/A</v>
      </c>
      <c r="E22" s="137"/>
      <c r="F22" s="137"/>
      <c r="G22" s="137"/>
      <c r="H22" s="137"/>
      <c r="I22" s="137"/>
    </row>
    <row r="23" spans="1:35" ht="13.5" thickBot="1">
      <c r="A23" s="2414"/>
      <c r="B23" s="2414"/>
      <c r="C23" s="2414"/>
      <c r="D23" s="2414"/>
      <c r="E23" s="137"/>
      <c r="F23" s="2993"/>
      <c r="G23" s="2994" t="s">
        <v>3310</v>
      </c>
      <c r="H23" s="2994" t="s">
        <v>3310</v>
      </c>
      <c r="I23" s="2994" t="s">
        <v>3311</v>
      </c>
      <c r="J23" s="2994" t="s">
        <v>3312</v>
      </c>
      <c r="K23" s="2995" t="s">
        <v>3313</v>
      </c>
    </row>
    <row r="24" spans="1:35" ht="14.25">
      <c r="A24" s="3195" t="s">
        <v>2157</v>
      </c>
      <c r="B24" s="2431" t="s">
        <v>2149</v>
      </c>
      <c r="C24" s="144">
        <f>IF(B30=0,0,D30)</f>
        <v>0</v>
      </c>
      <c r="D24" s="2438"/>
      <c r="E24" s="137"/>
      <c r="F24" s="2996" t="s">
        <v>3307</v>
      </c>
      <c r="G24" s="2997">
        <f ca="1">成本法!B2</f>
        <v>4368</v>
      </c>
      <c r="H24" s="2997">
        <f ca="1">G24</f>
        <v>4368</v>
      </c>
      <c r="I24" s="2997">
        <f ca="1">成本法!B3</f>
        <v>13577</v>
      </c>
      <c r="J24" s="2997">
        <f ca="1">ROUND(H24*C18+H26*D18,0)</f>
        <v>4338</v>
      </c>
      <c r="K24" s="2998">
        <f ca="1">ROUND(J24/'数据-汇总表'!E31*10000,0)</f>
        <v>13484</v>
      </c>
    </row>
    <row r="25" spans="1:35" ht="14.25">
      <c r="A25" s="3196"/>
      <c r="B25" s="1245" t="s">
        <v>2153</v>
      </c>
      <c r="C25" s="149">
        <f>IF(B30=0,0,C30)</f>
        <v>0</v>
      </c>
      <c r="D25" s="2439"/>
      <c r="E25" s="137"/>
      <c r="F25" s="2996" t="s">
        <v>3308</v>
      </c>
      <c r="G25" s="2997">
        <f>'比较法-住宅'!B2</f>
        <v>2599</v>
      </c>
      <c r="H25" s="2997"/>
      <c r="I25" s="2997"/>
      <c r="J25" s="2997"/>
      <c r="K25" s="2998"/>
    </row>
    <row r="26" spans="1:35" ht="13.5" customHeight="1" thickBot="1">
      <c r="A26" s="2440" t="s">
        <v>2158</v>
      </c>
      <c r="B26" s="150" t="s">
        <v>2159</v>
      </c>
      <c r="C26" s="150" t="s">
        <v>2160</v>
      </c>
      <c r="D26" s="151" t="s">
        <v>2161</v>
      </c>
      <c r="E26" s="137"/>
      <c r="F26" s="2990" t="s">
        <v>3309</v>
      </c>
      <c r="G26" s="2991">
        <f ca="1">'收益法-商业'!B2</f>
        <v>1709</v>
      </c>
      <c r="H26" s="2991">
        <f ca="1">G25+G26</f>
        <v>4308</v>
      </c>
      <c r="I26" s="2991">
        <f ca="1">ROUND(H26/'数据-汇总表'!E31*10000,0)</f>
        <v>13390</v>
      </c>
      <c r="J26" s="2991"/>
      <c r="K26" s="2992"/>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1" t="s">
        <v>3041</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2163</v>
      </c>
      <c r="B32" s="2444"/>
      <c r="C32" s="152" t="e">
        <f ca="1">IF(D32="总价",G19-C24,G20-C25)</f>
        <v>#N/A</v>
      </c>
      <c r="D32" s="2445" t="s">
        <v>2164</v>
      </c>
      <c r="E32" s="137"/>
      <c r="F32" s="137"/>
      <c r="G32" s="137"/>
      <c r="H32" s="137"/>
      <c r="I32" s="137"/>
    </row>
    <row r="33" spans="1:15" ht="15">
      <c r="A33" s="955" t="s">
        <v>2165</v>
      </c>
      <c r="B33" s="2446"/>
      <c r="C33" s="2447"/>
      <c r="D33" s="2448"/>
      <c r="E33" s="2449" t="s">
        <v>2166</v>
      </c>
      <c r="F33" s="2450" t="str">
        <f>IF(D32="楼面单价","取值（单价）","取值（总价）")</f>
        <v>取值（总价）</v>
      </c>
      <c r="G33" s="137"/>
      <c r="H33" s="137"/>
      <c r="I33" s="137"/>
    </row>
    <row r="34" spans="1:15" ht="15">
      <c r="A34" s="2451"/>
      <c r="B34" s="2452" t="s">
        <v>2167</v>
      </c>
      <c r="C34" s="156" t="e">
        <f ca="1">IF(C33="自定义",F34,C32-C35)</f>
        <v>#N/A</v>
      </c>
      <c r="D34" s="1053" t="e">
        <f ca="1">IF(C33="自定义",ROUND(C34/C32,3),IF(C33="收益比率",SUMIF(INDIRECT("'"&amp;D33&amp;"'"&amp;"!b:b"),"土地收益比率",INDIRECT("'"&amp;D33&amp;"'"&amp;"!c:c")),SUMIF(INDIRECT("'"&amp;D33&amp;"'"&amp;"!b:b"),"土地成本比率",INDIRECT("'"&amp;D33&amp;"'"&amp;"!c:c"))))</f>
        <v>#REF!</v>
      </c>
      <c r="E34" s="2453" t="s">
        <v>2168</v>
      </c>
      <c r="F34" s="1734"/>
      <c r="G34" s="137"/>
      <c r="H34" s="137"/>
      <c r="I34" s="137"/>
    </row>
    <row r="35" spans="1:15" ht="15.75" thickBot="1">
      <c r="A35" s="2454"/>
      <c r="B35" s="2455" t="s">
        <v>2169</v>
      </c>
      <c r="C35" s="1439" t="e">
        <f ca="1">IF(C33="自定义",F35,ROUND(C32*D35,0))</f>
        <v>#N/A</v>
      </c>
      <c r="D35" s="1440"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175" t="s">
        <v>2171</v>
      </c>
      <c r="B36" s="2457" t="s">
        <v>2172</v>
      </c>
      <c r="C36" s="153"/>
      <c r="D36" s="2458"/>
      <c r="E36" s="2459"/>
      <c r="F36" s="2460"/>
      <c r="G36" s="137"/>
      <c r="H36" s="137"/>
      <c r="I36" s="137"/>
    </row>
    <row r="37" spans="1:15" ht="15.75" thickBot="1">
      <c r="A37" s="3176"/>
      <c r="B37" s="2262" t="s">
        <v>2173</v>
      </c>
      <c r="C37" s="155"/>
      <c r="D37" s="1390"/>
      <c r="E37" s="1390"/>
      <c r="F37" s="2460"/>
      <c r="G37" s="137"/>
      <c r="H37" s="137"/>
      <c r="I37" s="137"/>
    </row>
    <row r="38" spans="1:15" ht="15.75" thickBot="1">
      <c r="A38" s="3177"/>
      <c r="B38" s="2461" t="s">
        <v>2174</v>
      </c>
      <c r="C38" s="725"/>
      <c r="D38" s="2462" t="s">
        <v>2175</v>
      </c>
      <c r="E38" s="1390"/>
      <c r="F38" s="2460"/>
      <c r="G38" s="137"/>
      <c r="H38" s="137"/>
      <c r="I38" s="137"/>
    </row>
    <row r="39" spans="1:15" ht="15">
      <c r="A39" s="2433" t="s">
        <v>2176</v>
      </c>
      <c r="B39" s="2463" t="s">
        <v>2177</v>
      </c>
      <c r="C39" s="2464" t="s">
        <v>2178</v>
      </c>
      <c r="D39" s="2464" t="s">
        <v>2179</v>
      </c>
      <c r="E39" s="2465" t="s">
        <v>2180</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192" t="s">
        <v>2185</v>
      </c>
      <c r="B45" s="3193"/>
      <c r="C45" s="3194"/>
      <c r="D45" s="163" t="e">
        <f ca="1">ROUND(H101*F45,0)</f>
        <v>#N/A</v>
      </c>
      <c r="E45" s="164" t="s">
        <v>2186</v>
      </c>
      <c r="F45" s="165">
        <v>1</v>
      </c>
      <c r="G45" s="166" t="s">
        <v>2187</v>
      </c>
      <c r="H45" s="137"/>
      <c r="I45" s="137"/>
      <c r="J45" s="3111" t="s">
        <v>2188</v>
      </c>
      <c r="K45" s="3111"/>
      <c r="L45" s="3111"/>
      <c r="M45" s="3111"/>
      <c r="N45" s="3111"/>
      <c r="O45" s="3111"/>
    </row>
    <row r="46" spans="1:15" ht="14.25" customHeight="1">
      <c r="A46" s="3189" t="s">
        <v>2189</v>
      </c>
      <c r="B46" s="3190"/>
      <c r="C46" s="3190"/>
      <c r="D46" s="3190"/>
      <c r="E46" s="3190"/>
      <c r="F46" s="3190"/>
      <c r="G46" s="3191"/>
      <c r="H46" s="2476"/>
      <c r="I46" s="167"/>
      <c r="J46" s="1807">
        <v>1</v>
      </c>
      <c r="K46" s="3111" t="s">
        <v>2190</v>
      </c>
      <c r="L46" s="3111"/>
      <c r="M46" s="3112"/>
      <c r="N46" s="3112"/>
      <c r="O46" s="3112"/>
    </row>
    <row r="47" spans="1:15" ht="12" customHeight="1">
      <c r="A47" s="168" t="s">
        <v>2191</v>
      </c>
      <c r="B47" s="169"/>
      <c r="C47" s="170"/>
      <c r="D47" s="171" t="s">
        <v>2192</v>
      </c>
      <c r="E47" s="23" t="s">
        <v>2193</v>
      </c>
      <c r="F47" s="172" t="s">
        <v>2194</v>
      </c>
      <c r="G47" s="173" t="s">
        <v>2195</v>
      </c>
      <c r="H47" s="2476"/>
      <c r="I47" s="167"/>
      <c r="J47" s="1807">
        <v>2</v>
      </c>
      <c r="K47" s="3111" t="s">
        <v>2196</v>
      </c>
      <c r="L47" s="3111"/>
      <c r="M47" s="3113">
        <f>'数据-取费表'!B2</f>
        <v>43185</v>
      </c>
      <c r="N47" s="3113"/>
      <c r="O47" s="3113"/>
    </row>
    <row r="48" spans="1:15" ht="25.5">
      <c r="A48" s="3179" t="s">
        <v>2197</v>
      </c>
      <c r="B48" s="3180"/>
      <c r="C48" s="3180"/>
      <c r="D48" s="139">
        <f>IF(H48="情况1",0,IF(H48="情况2",D52,IF(H48="情况3",D53,IF(H48="情况4",D54))))</f>
        <v>0</v>
      </c>
      <c r="E48" s="1796" t="str">
        <f>IF(H48="情况4","(销售额-原购置价)×税（费）率","销售额×税（费）率")</f>
        <v>销售额×税（费）率</v>
      </c>
      <c r="F48" s="174" t="str">
        <f>IF(H48="情况1","免征",'数据-取费表'!B41)</f>
        <v>免征</v>
      </c>
      <c r="G48" s="2477" t="s">
        <v>2198</v>
      </c>
      <c r="H48" s="2478" t="s">
        <v>2199</v>
      </c>
      <c r="I48" s="2476"/>
      <c r="J48" s="1807">
        <v>3</v>
      </c>
      <c r="K48" s="3111" t="s">
        <v>2200</v>
      </c>
      <c r="L48" s="3111"/>
      <c r="M48" s="3114" t="e">
        <f ca="1">H101</f>
        <v>#N/A</v>
      </c>
      <c r="N48" s="3114"/>
      <c r="O48" s="3114"/>
    </row>
    <row r="49" spans="1:35" ht="25.5" customHeight="1">
      <c r="A49" s="175" t="s">
        <v>2201</v>
      </c>
      <c r="B49" s="3159" t="s">
        <v>2202</v>
      </c>
      <c r="C49" s="3159"/>
      <c r="D49" s="176">
        <v>0</v>
      </c>
      <c r="E49" s="22" t="s">
        <v>2203</v>
      </c>
      <c r="F49" s="27" t="s">
        <v>34</v>
      </c>
      <c r="G49" s="3140"/>
      <c r="H49" s="137"/>
      <c r="I49" s="2479"/>
      <c r="J49" s="1807">
        <v>4</v>
      </c>
      <c r="K49" s="3111" t="str">
        <f>IF(项目基本情况!E8="房地产抵押价值","房地产抵押价值","抵押担保权已注销时的房地产抵押价值")</f>
        <v>抵押担保权已注销时的房地产抵押价值</v>
      </c>
      <c r="L49" s="3111"/>
      <c r="M49" s="3114" t="e">
        <f ca="1">IF(项目基本情况!E8="房地产抵押价值",H107,H109)</f>
        <v>#N/A</v>
      </c>
      <c r="N49" s="3114"/>
      <c r="O49" s="3114"/>
    </row>
    <row r="50" spans="1:35" ht="25.5" customHeight="1">
      <c r="A50" s="177"/>
      <c r="B50" s="3159" t="s">
        <v>2204</v>
      </c>
      <c r="C50" s="3159"/>
      <c r="D50" s="178"/>
      <c r="E50" s="30"/>
      <c r="F50" s="179"/>
      <c r="G50" s="3141"/>
      <c r="H50" s="137"/>
      <c r="I50" s="2479"/>
      <c r="J50" s="3111" t="s">
        <v>2205</v>
      </c>
      <c r="K50" s="3111"/>
      <c r="L50" s="3111"/>
      <c r="M50" s="3111"/>
      <c r="N50" s="3111"/>
      <c r="O50" s="3111"/>
    </row>
    <row r="51" spans="1:35" ht="12" customHeight="1">
      <c r="A51" s="180"/>
      <c r="B51" s="3159" t="s">
        <v>2206</v>
      </c>
      <c r="C51" s="3159"/>
      <c r="D51" s="181"/>
      <c r="E51" s="29"/>
      <c r="F51" s="179"/>
      <c r="G51" s="3142"/>
      <c r="H51" s="137"/>
      <c r="I51" s="2479"/>
      <c r="J51" s="2480" t="s">
        <v>2207</v>
      </c>
      <c r="K51" s="3111" t="s">
        <v>2208</v>
      </c>
      <c r="L51" s="3111"/>
      <c r="M51" s="2480" t="s">
        <v>2209</v>
      </c>
      <c r="N51" s="2480" t="s">
        <v>2210</v>
      </c>
      <c r="O51" s="2480" t="s">
        <v>2211</v>
      </c>
    </row>
    <row r="52" spans="1:35" ht="24" customHeight="1">
      <c r="A52" s="182" t="s">
        <v>2212</v>
      </c>
      <c r="B52" s="3159" t="s">
        <v>2213</v>
      </c>
      <c r="C52" s="3159"/>
      <c r="D52" s="181" t="e">
        <f ca="1">ROUND(D45*'数据-取费表'!B41/(1+'数据-取费表'!C42),0)</f>
        <v>#N/A</v>
      </c>
      <c r="E52" s="11" t="s">
        <v>2214</v>
      </c>
      <c r="F52" s="183">
        <f>'数据-取费表'!B41</f>
        <v>5.6000000000000001E-2</v>
      </c>
      <c r="G52" s="2481"/>
      <c r="H52" s="137"/>
      <c r="I52" s="2479"/>
      <c r="J52" s="1807">
        <v>1</v>
      </c>
      <c r="K52" s="3134" t="s">
        <v>2215</v>
      </c>
      <c r="L52" s="3134"/>
      <c r="M52" s="1749">
        <f>D48</f>
        <v>0</v>
      </c>
      <c r="N52" s="1807" t="str">
        <f>E48</f>
        <v>销售额×税（费）率</v>
      </c>
      <c r="O52" s="1750" t="str">
        <f>F48</f>
        <v>免征</v>
      </c>
    </row>
    <row r="53" spans="1:35" ht="12" customHeight="1">
      <c r="A53" s="182" t="s">
        <v>2216</v>
      </c>
      <c r="B53" s="3160" t="s">
        <v>2217</v>
      </c>
      <c r="C53" s="3161"/>
      <c r="D53" s="181" t="e">
        <f ca="1">ROUND(D45*'数据-取费表'!B41/(1+'数据-取费表'!C42),0)</f>
        <v>#N/A</v>
      </c>
      <c r="E53" s="11" t="s">
        <v>2214</v>
      </c>
      <c r="F53" s="183">
        <f>'数据-取费表'!B41</f>
        <v>5.6000000000000001E-2</v>
      </c>
      <c r="G53" s="2481"/>
      <c r="H53" s="137"/>
      <c r="I53" s="2479"/>
      <c r="J53" s="1807">
        <v>2</v>
      </c>
      <c r="K53" s="3134" t="s">
        <v>2218</v>
      </c>
      <c r="L53" s="3134"/>
      <c r="M53" s="1749" t="e">
        <f t="shared" ref="M53:O54" ca="1" si="0">D55</f>
        <v>#N/A</v>
      </c>
      <c r="N53" s="1807" t="str">
        <f t="shared" si="0"/>
        <v>销售额×税（费）率</v>
      </c>
      <c r="O53" s="1750">
        <f t="shared" si="0"/>
        <v>5.0000000000000001E-4</v>
      </c>
    </row>
    <row r="54" spans="1:35" ht="12" customHeight="1">
      <c r="A54" s="182" t="s">
        <v>2219</v>
      </c>
      <c r="B54" s="3160" t="s">
        <v>2220</v>
      </c>
      <c r="C54" s="3161"/>
      <c r="D54" s="181" t="e">
        <f ca="1">C68</f>
        <v>#N/A</v>
      </c>
      <c r="E54" s="29" t="s">
        <v>2221</v>
      </c>
      <c r="F54" s="183">
        <f>'数据-取费表'!B41</f>
        <v>5.6000000000000001E-2</v>
      </c>
      <c r="G54" s="2481"/>
      <c r="H54" s="2482"/>
      <c r="I54" s="2479"/>
      <c r="J54" s="1807">
        <v>3</v>
      </c>
      <c r="K54" s="3134" t="s">
        <v>2222</v>
      </c>
      <c r="L54" s="3134"/>
      <c r="M54" s="1749" t="e">
        <f t="shared" ca="1" si="0"/>
        <v>#N/A</v>
      </c>
      <c r="N54" s="1807" t="str">
        <f t="shared" si="0"/>
        <v>增值额×税（费）率</v>
      </c>
      <c r="O54" s="1751" t="str">
        <f t="shared" si="0"/>
        <v>——</v>
      </c>
    </row>
    <row r="55" spans="1:35" ht="24" customHeight="1">
      <c r="A55" s="3198" t="s">
        <v>2223</v>
      </c>
      <c r="B55" s="3180"/>
      <c r="C55" s="3180"/>
      <c r="D55" s="184" t="e">
        <f ca="1">IF(H55="个人住宅",0,ROUND(D45*I55,0))</f>
        <v>#N/A</v>
      </c>
      <c r="E55" s="11" t="s">
        <v>2224</v>
      </c>
      <c r="F55" s="183">
        <f>IF(H55="正常",I55,"免征")</f>
        <v>5.0000000000000001E-4</v>
      </c>
      <c r="G55" s="2481"/>
      <c r="H55" s="2478" t="s">
        <v>2225</v>
      </c>
      <c r="I55" s="185">
        <f>'数据-取费表'!B49</f>
        <v>5.0000000000000001E-4</v>
      </c>
      <c r="J55" s="1807" t="str">
        <f>IF(H59="非个人房产","",4)</f>
        <v/>
      </c>
      <c r="K55" s="3134" t="str">
        <f>IF(H59="非个人房产","——","个人所得税")</f>
        <v>——</v>
      </c>
      <c r="L55" s="3134"/>
      <c r="M55" s="1752" t="str">
        <f>D59</f>
        <v>——</v>
      </c>
      <c r="N55" s="1805" t="str">
        <f>E59</f>
        <v>——</v>
      </c>
      <c r="O55" s="1753" t="str">
        <f>F59</f>
        <v>——</v>
      </c>
    </row>
    <row r="56" spans="1:35" ht="24.75">
      <c r="A56" s="3198" t="s">
        <v>2226</v>
      </c>
      <c r="B56" s="3180"/>
      <c r="C56" s="3180"/>
      <c r="D56" s="184" t="e">
        <f ca="1">IF(H56="个人住宅",D57,D58)</f>
        <v>#N/A</v>
      </c>
      <c r="E56" s="11" t="s">
        <v>2227</v>
      </c>
      <c r="F56" s="183" t="str">
        <f>IF(H56="正常",F58,"免征")</f>
        <v>——</v>
      </c>
      <c r="G56" s="2483" t="s">
        <v>2228</v>
      </c>
      <c r="H56" s="2484" t="s">
        <v>2225</v>
      </c>
      <c r="I56" s="2485"/>
      <c r="J56" s="1807" t="str">
        <f>IF(项目基本情况!K6="上海银行",IF(J55="",4,J55+1),"")</f>
        <v/>
      </c>
      <c r="K56" s="3117" t="str">
        <f>IF(项目基本情况!K6="上海银行","其他处置费用","")</f>
        <v/>
      </c>
      <c r="L56" s="3118"/>
      <c r="M56" s="1749" t="str">
        <f>IF(项目基本情况!K6="上海银行",M69,"")</f>
        <v/>
      </c>
      <c r="N56" s="3120" t="str">
        <f>IF(项目基本情况!K6="上海银行","包含处置中涉及的律师、诉讼、拍卖、评估等费用","")</f>
        <v/>
      </c>
      <c r="O56" s="3121"/>
    </row>
    <row r="57" spans="1:35" ht="12.75">
      <c r="A57" s="182" t="s">
        <v>2201</v>
      </c>
      <c r="B57" s="3165" t="s">
        <v>2229</v>
      </c>
      <c r="C57" s="3166"/>
      <c r="D57" s="186">
        <v>0</v>
      </c>
      <c r="E57" s="22" t="s">
        <v>2203</v>
      </c>
      <c r="F57" s="154"/>
      <c r="G57" s="2481"/>
      <c r="H57" s="2485"/>
      <c r="I57" s="2485"/>
      <c r="J57" s="3134">
        <f>IF(AND(J55="",J56=""),4,IF(项目基本情况!K6="上海银行",结果表!J56+1,结果表!J55+1))</f>
        <v>4</v>
      </c>
      <c r="K57" s="3134" t="s">
        <v>2230</v>
      </c>
      <c r="L57" s="2486" t="s">
        <v>2231</v>
      </c>
      <c r="M57" s="1754"/>
      <c r="N57" s="1755">
        <f ca="1">SUMIF(M52:M56,"&lt;9e307")</f>
        <v>0</v>
      </c>
      <c r="O57" s="2487"/>
      <c r="P57" s="1748" t="e">
        <f ca="1">N57/M49</f>
        <v>#N/A</v>
      </c>
    </row>
    <row r="58" spans="1:35" ht="24.75">
      <c r="A58" s="182" t="s">
        <v>2212</v>
      </c>
      <c r="B58" s="3165" t="s">
        <v>2232</v>
      </c>
      <c r="C58" s="3178"/>
      <c r="D58" s="184" t="e">
        <f ca="1">IF(H58="转让取得",C81,C97)</f>
        <v>#N/A</v>
      </c>
      <c r="E58" s="11" t="s">
        <v>2227</v>
      </c>
      <c r="F58" s="23" t="s">
        <v>34</v>
      </c>
      <c r="G58" s="2481"/>
      <c r="H58" s="2484" t="s">
        <v>2233</v>
      </c>
      <c r="I58" s="2485"/>
      <c r="J58" s="3134"/>
      <c r="K58" s="3134"/>
      <c r="L58" s="2486" t="s">
        <v>2234</v>
      </c>
      <c r="M58" s="1756"/>
      <c r="N58" s="2488" t="str">
        <f ca="1">NUMBERSTRING(INT(N57*10000),2)&amp;"元整"</f>
        <v>零元整</v>
      </c>
      <c r="O58" s="2489"/>
    </row>
    <row r="59" spans="1:35" ht="24.75" thickBot="1">
      <c r="A59" s="3138" t="s">
        <v>2235</v>
      </c>
      <c r="B59" s="3139"/>
      <c r="C59" s="3139"/>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136">
        <f>J57+1</f>
        <v>5</v>
      </c>
      <c r="K59" s="3134" t="s">
        <v>2237</v>
      </c>
      <c r="L59" s="1807" t="s">
        <v>2231</v>
      </c>
      <c r="M59" s="1757"/>
      <c r="N59" s="1758" t="e">
        <f ca="1">M49-N57</f>
        <v>#N/A</v>
      </c>
      <c r="O59" s="2491"/>
    </row>
    <row r="60" spans="1:35" ht="12" customHeight="1">
      <c r="A60" s="2492"/>
      <c r="B60" s="2414"/>
      <c r="C60" s="2414"/>
      <c r="D60" s="2414"/>
      <c r="E60" s="2161"/>
      <c r="F60" s="2485"/>
      <c r="G60" s="2485"/>
      <c r="H60" s="2493"/>
      <c r="I60" s="137"/>
      <c r="J60" s="3137"/>
      <c r="K60" s="3134"/>
      <c r="L60" s="2486" t="s">
        <v>2234</v>
      </c>
      <c r="M60" s="1756"/>
      <c r="N60" s="2488" t="e">
        <f ca="1">NUMBERSTRING(INT(N59*10000),2)&amp;"元整"</f>
        <v>#N/A</v>
      </c>
      <c r="O60" s="2489"/>
    </row>
    <row r="61" spans="1:35" ht="13.5" thickBot="1">
      <c r="A61" s="3197" t="s">
        <v>2238</v>
      </c>
      <c r="B61" s="3197"/>
      <c r="C61" s="3197"/>
      <c r="D61" s="3197"/>
      <c r="E61" s="3197"/>
      <c r="F61" s="2485"/>
      <c r="G61" s="2485"/>
      <c r="H61" s="2493"/>
      <c r="I61" s="137"/>
      <c r="J61" s="1807">
        <f>J59+1</f>
        <v>6</v>
      </c>
      <c r="K61" s="3134" t="s">
        <v>2239</v>
      </c>
      <c r="L61" s="3134"/>
      <c r="M61" s="1759"/>
      <c r="N61" s="1760" t="e">
        <f ca="1">ROUND(N59*10000/'数据-汇总表'!E3,0)</f>
        <v>#N/A</v>
      </c>
      <c r="O61" s="2494"/>
    </row>
    <row r="62" spans="1:35" ht="12.75">
      <c r="A62" s="3154" t="s">
        <v>2240</v>
      </c>
      <c r="B62" s="3155"/>
      <c r="C62" s="1799"/>
      <c r="D62" s="1799" t="s">
        <v>2241</v>
      </c>
      <c r="E62" s="191" t="s">
        <v>2242</v>
      </c>
      <c r="F62" s="2485"/>
      <c r="G62" s="2485"/>
      <c r="H62" s="2493"/>
      <c r="I62" s="137"/>
    </row>
    <row r="63" spans="1:35" ht="12.75">
      <c r="A63" s="202" t="s">
        <v>775</v>
      </c>
      <c r="B63" s="192" t="s">
        <v>2243</v>
      </c>
      <c r="C63" s="193" t="e">
        <f ca="1">ROUND((C64+C65)/(1+'数据-取费表'!C42),0)</f>
        <v>#N/A</v>
      </c>
      <c r="D63" s="194"/>
      <c r="E63" s="195"/>
      <c r="F63" s="2485"/>
      <c r="G63" s="2485"/>
      <c r="H63" s="2493"/>
      <c r="I63" s="137"/>
      <c r="J63" s="3119" t="s">
        <v>2244</v>
      </c>
      <c r="K63" s="2495" t="s">
        <v>2245</v>
      </c>
      <c r="L63" s="1747" t="e">
        <f ca="1">IF(M49&gt;10000,M49*0.5%,IF(AND(M49&gt;1000,M49&lt;=10000),M49*1%,IF(AND(M49&gt;100,M49&lt;=1000),M49*3%,IF(AND(M49&gt;10,M49&lt;=100),M49*5%,M49*8%))))</f>
        <v>#N/A</v>
      </c>
      <c r="M63" s="23" t="e">
        <f ca="1">ROUND(L63,1)</f>
        <v>#N/A</v>
      </c>
      <c r="Z63" s="2419"/>
      <c r="AI63" s="2420"/>
    </row>
    <row r="64" spans="1:35" ht="14.25" customHeight="1">
      <c r="A64" s="196" t="s">
        <v>770</v>
      </c>
      <c r="B64" s="197" t="s">
        <v>2246</v>
      </c>
      <c r="C64" s="198" t="e">
        <f ca="1">D45</f>
        <v>#N/A</v>
      </c>
      <c r="D64" s="199" t="s">
        <v>32</v>
      </c>
      <c r="E64" s="200"/>
      <c r="F64" s="2485"/>
      <c r="G64" s="2485"/>
      <c r="H64" s="2493"/>
      <c r="I64" s="137"/>
      <c r="J64" s="3119"/>
      <c r="K64" s="2495" t="s">
        <v>2247</v>
      </c>
      <c r="L64" s="1747"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2248</v>
      </c>
      <c r="Z64" s="2419"/>
      <c r="AI64" s="2420"/>
    </row>
    <row r="65" spans="1:35" ht="14.25" customHeight="1">
      <c r="A65" s="196" t="s">
        <v>771</v>
      </c>
      <c r="B65" s="197" t="s">
        <v>2249</v>
      </c>
      <c r="C65" s="201"/>
      <c r="D65" s="199"/>
      <c r="E65" s="200"/>
      <c r="F65" s="2485"/>
      <c r="G65" s="2485"/>
      <c r="H65" s="2493"/>
      <c r="I65" s="137"/>
      <c r="J65" s="3119"/>
      <c r="K65" s="2495" t="s">
        <v>2250</v>
      </c>
      <c r="L65" s="1747" t="e">
        <f ca="1">IF(M49&gt;1000,M49*0.1%,IF(AND(M49&gt;500,M49&lt;=1000),M49*0.5%,IF(AND(M49&gt;50,M49&lt;=500),M49*1%,IF(AND(M49&gt;1,M49&lt;=50),M49*1.5%))))</f>
        <v>#N/A</v>
      </c>
      <c r="M65" s="23" t="e">
        <f t="shared" ca="1" si="1"/>
        <v>#N/A</v>
      </c>
      <c r="N65" s="137" t="s">
        <v>2248</v>
      </c>
      <c r="Z65" s="2419"/>
      <c r="AI65" s="2420"/>
    </row>
    <row r="66" spans="1:35" ht="14.25" customHeight="1">
      <c r="A66" s="202" t="s">
        <v>772</v>
      </c>
      <c r="B66" s="203" t="s">
        <v>2251</v>
      </c>
      <c r="C66" s="204"/>
      <c r="D66" s="205" t="s">
        <v>32</v>
      </c>
      <c r="E66" s="1771" t="s">
        <v>1371</v>
      </c>
      <c r="F66" s="2485"/>
      <c r="G66" s="2485"/>
      <c r="H66" s="2493"/>
      <c r="I66" s="137"/>
      <c r="J66" s="3119"/>
      <c r="K66" s="2495" t="s">
        <v>2252</v>
      </c>
      <c r="L66" s="1747" t="e">
        <f ca="1">M49*0.5%</f>
        <v>#N/A</v>
      </c>
      <c r="M66" s="23" t="e">
        <f ca="1">IF(L66&gt;0.5,0.5,ROUND(L66,0))</f>
        <v>#N/A</v>
      </c>
      <c r="N66" s="137" t="s">
        <v>2253</v>
      </c>
      <c r="Z66" s="2419"/>
      <c r="AI66" s="2420"/>
    </row>
    <row r="67" spans="1:35" ht="14.25" customHeight="1">
      <c r="A67" s="202" t="s">
        <v>773</v>
      </c>
      <c r="B67" s="203" t="s">
        <v>2254</v>
      </c>
      <c r="C67" s="206" t="e">
        <f ca="1">C63-C66</f>
        <v>#N/A</v>
      </c>
      <c r="D67" s="199" t="s">
        <v>32</v>
      </c>
      <c r="E67" s="200"/>
      <c r="F67" s="2485"/>
      <c r="G67" s="2485"/>
      <c r="H67" s="2493"/>
      <c r="I67" s="137"/>
      <c r="J67" s="3119"/>
      <c r="K67" s="2495" t="s">
        <v>2255</v>
      </c>
      <c r="L67" s="1747"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9"/>
      <c r="AI67" s="2420"/>
    </row>
    <row r="68" spans="1:35" ht="14.25" customHeight="1" thickBot="1">
      <c r="A68" s="207" t="s">
        <v>774</v>
      </c>
      <c r="B68" s="208" t="s">
        <v>2256</v>
      </c>
      <c r="C68" s="209" t="e">
        <f ca="1">IF(C67&lt;=0,0,ROUND(C67*D68,0))</f>
        <v>#N/A</v>
      </c>
      <c r="D68" s="210">
        <f>'数据-取费表'!B41</f>
        <v>5.6000000000000001E-2</v>
      </c>
      <c r="E68" s="211"/>
      <c r="F68" s="2485"/>
      <c r="G68" s="2485"/>
      <c r="H68" s="2493"/>
      <c r="I68" s="137"/>
      <c r="J68" s="3119"/>
      <c r="K68" s="2495" t="s">
        <v>2257</v>
      </c>
      <c r="L68" s="1747" t="e">
        <f ca="1">IF(M49&gt;10000,M49*0.5%,IF(AND(M49&gt;5000,M49&lt;=10000),M49*1%,IF(AND(M49&gt;1000,M49&lt;=5000),M49*2%,IF(AND(M49&gt;200,M49&lt;=1000),M49*3%,M49*5%))))</f>
        <v>#N/A</v>
      </c>
      <c r="M68" s="23" t="e">
        <f ca="1">ROUND(L68,1)</f>
        <v>#N/A</v>
      </c>
      <c r="Z68" s="2419"/>
      <c r="AI68" s="2420"/>
    </row>
    <row r="69" spans="1:35" s="2442" customFormat="1" ht="16.5" customHeight="1">
      <c r="A69" s="2496"/>
      <c r="B69" s="2497"/>
      <c r="C69" s="2498"/>
      <c r="D69" s="2499"/>
      <c r="E69" s="2500"/>
      <c r="F69" s="2161"/>
      <c r="G69" s="2161"/>
      <c r="H69" s="2160"/>
      <c r="I69" s="2414"/>
      <c r="J69" s="3119"/>
      <c r="K69" s="2495" t="s">
        <v>2258</v>
      </c>
      <c r="L69" s="2501"/>
      <c r="M69" s="23" t="e">
        <f ca="1">ROUND(SUM(M63:M68),0)</f>
        <v>#N/A</v>
      </c>
      <c r="N69" s="1748" t="e">
        <f ca="1">M69/M49</f>
        <v>#N/A</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63" t="s">
        <v>2259</v>
      </c>
      <c r="B70" s="3164"/>
      <c r="C70" s="3164"/>
      <c r="D70" s="3164"/>
      <c r="E70" s="3164"/>
      <c r="F70" s="3164"/>
      <c r="G70" s="3164"/>
      <c r="H70" s="316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4" t="s">
        <v>2240</v>
      </c>
      <c r="B71" s="3155"/>
      <c r="C71" s="1799"/>
      <c r="D71" s="1799"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2260</v>
      </c>
      <c r="C72" s="206" t="e">
        <f ca="1">ROUND(D45/(1+'数据-取费表'!C42),0)</f>
        <v>#N/A</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2261</v>
      </c>
      <c r="C73" s="206" t="e">
        <f ca="1">C74+C78</f>
        <v>#N/A</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2262</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2267</v>
      </c>
      <c r="C76" s="199">
        <f>IF(F75="购房发票",ROUND(C75*H75*D76,0),0)</f>
        <v>0</v>
      </c>
      <c r="D76" s="221">
        <v>0.05</v>
      </c>
      <c r="E76" s="3160" t="s">
        <v>2268</v>
      </c>
      <c r="F76" s="3159"/>
      <c r="G76" s="3159"/>
      <c r="H76" s="316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09" t="s">
        <v>2271</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2272</v>
      </c>
      <c r="C78" s="224" t="e">
        <f ca="1">ROUND(D45*D78/(1+'数据-取费表'!C42),0)</f>
        <v>#N/A</v>
      </c>
      <c r="D78" s="225">
        <f>'数据-取费表'!B43</f>
        <v>6.000000000000001E-3</v>
      </c>
      <c r="E78" s="3151" t="s">
        <v>2273</v>
      </c>
      <c r="F78" s="3152"/>
      <c r="G78" s="3152"/>
      <c r="H78" s="315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2274</v>
      </c>
      <c r="C79" s="206" t="e">
        <f ca="1">C72-C73</f>
        <v>#N/A</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2275</v>
      </c>
      <c r="C80" s="226" t="e">
        <f ca="1">IF(C79&lt;=0,0,C79/C73)</f>
        <v>#N/A</v>
      </c>
      <c r="D80" s="199" t="s">
        <v>32</v>
      </c>
      <c r="E80" s="14" t="e">
        <f ca="1">IF(C80&gt;=200%,"增值额超过扣除项目金额200%",IF(C80&gt;=100%,"增值额超过扣除项目金额100%，未超过200%",IF(C80&gt;=50%,"增值额超过扣除项目金额50%，未超过100%",IF(C80&lt;50%,"增值额未超过扣除项目金额50%"))))</f>
        <v>#N/A</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2276</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3" t="s">
        <v>2277</v>
      </c>
      <c r="B83" s="3164"/>
      <c r="C83" s="3164"/>
      <c r="D83" s="3164"/>
      <c r="E83" s="3164"/>
      <c r="F83" s="3164"/>
      <c r="G83" s="3164"/>
      <c r="H83" s="316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4" t="s">
        <v>2240</v>
      </c>
      <c r="B84" s="3155"/>
      <c r="C84" s="1799"/>
      <c r="D84" s="1799"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2260</v>
      </c>
      <c r="C85" s="206" t="e">
        <f ca="1">ROUND(D45/(1+'数据-取费表'!C42),0)</f>
        <v>#N/A</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2261</v>
      </c>
      <c r="C86" s="206" t="e">
        <f ca="1">IF(H88="仅含出让金",C87+C90+C91+C92+C93+C94,C87+C91+C92+C93+C94)</f>
        <v>#N/A</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2278</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2279</v>
      </c>
      <c r="C88" s="235"/>
      <c r="D88" s="225"/>
      <c r="E88" s="236" t="s">
        <v>2280</v>
      </c>
      <c r="F88" s="1795"/>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2269</v>
      </c>
      <c r="C89" s="224">
        <f>ROUND(C88*D89,0)</f>
        <v>0</v>
      </c>
      <c r="D89" s="225">
        <f>'数据-取费表'!B48+'数据-取费表'!B49</f>
        <v>3.0499999999999999E-2</v>
      </c>
      <c r="E89" s="236" t="s">
        <v>2282</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2283</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151" t="s">
        <v>2286</v>
      </c>
      <c r="F91" s="3152"/>
      <c r="G91" s="3152"/>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151" t="s">
        <v>2290</v>
      </c>
      <c r="F92" s="3152"/>
      <c r="G92" s="3152"/>
      <c r="H92" s="315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t="e">
        <f ca="1">ROUND(D45*D93/(1+'数据-取费表'!C42),0)</f>
        <v>#N/A</v>
      </c>
      <c r="D93" s="225">
        <f>'数据-取费表'!B43</f>
        <v>6.000000000000001E-3</v>
      </c>
      <c r="E93" s="3151" t="s">
        <v>2273</v>
      </c>
      <c r="F93" s="3152"/>
      <c r="G93" s="3152"/>
      <c r="H93" s="315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199" t="s">
        <v>2294</v>
      </c>
      <c r="F94" s="3200"/>
      <c r="G94" s="3200"/>
      <c r="H94" s="32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2274</v>
      </c>
      <c r="C95" s="206" t="e">
        <f ca="1">ROUND(C85-C86,0)</f>
        <v>#N/A</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2275</v>
      </c>
      <c r="C96" s="226" t="e">
        <f ca="1">IF(C95&lt;=0,0,C95/C86)</f>
        <v>#N/A</v>
      </c>
      <c r="D96" s="199" t="s">
        <v>32</v>
      </c>
      <c r="E96" s="14" t="e">
        <f ca="1">IF(C96&gt;=200%,"增值额超过扣除项目金额200%",IF(C96&gt;=100%,"增值额超过扣除项目金额100%，未超过200%",IF(C96&gt;=50%,"增值额超过扣除项目金额50%，未超过100%",IF(C96&lt;50%,"增值额未超过扣除项目金额50%"))))</f>
        <v>#N/A</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2276</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2295</v>
      </c>
      <c r="B99" s="2414"/>
      <c r="C99" s="2414"/>
      <c r="D99" s="2414"/>
      <c r="E99" s="2161"/>
      <c r="F99" s="2161"/>
      <c r="G99" s="2161"/>
      <c r="H99" s="2160"/>
      <c r="I99" s="137"/>
    </row>
    <row r="100" spans="1:35" ht="18.75" customHeight="1">
      <c r="A100" s="3103" t="s">
        <v>2296</v>
      </c>
      <c r="B100" s="3104"/>
      <c r="C100" s="3104"/>
      <c r="D100" s="3135"/>
      <c r="E100" s="3104" t="s">
        <v>2297</v>
      </c>
      <c r="F100" s="3104"/>
      <c r="G100" s="3104"/>
      <c r="H100" s="3135"/>
      <c r="I100" s="137"/>
    </row>
    <row r="101" spans="1:35" ht="18.75" customHeight="1">
      <c r="A101" s="3143" t="s">
        <v>2298</v>
      </c>
      <c r="B101" s="3144"/>
      <c r="C101" s="734" t="str">
        <f>C4</f>
        <v>成本法</v>
      </c>
      <c r="D101" s="735" t="str">
        <f>D4</f>
        <v>假设开发法</v>
      </c>
      <c r="E101" s="3115" t="s">
        <v>2299</v>
      </c>
      <c r="F101" s="3116"/>
      <c r="G101" s="2516" t="s">
        <v>2300</v>
      </c>
      <c r="H101" s="1043" t="e">
        <f ca="1">H118</f>
        <v>#N/A</v>
      </c>
      <c r="I101" s="137"/>
    </row>
    <row r="102" spans="1:35" ht="18.75" customHeight="1">
      <c r="A102" s="3145" t="s">
        <v>2301</v>
      </c>
      <c r="B102" s="2516" t="s">
        <v>2300</v>
      </c>
      <c r="C102" s="734">
        <f ca="1">C19</f>
        <v>4368</v>
      </c>
      <c r="D102" s="735" t="e">
        <f ca="1">D19</f>
        <v>#N/A</v>
      </c>
      <c r="E102" s="3115"/>
      <c r="F102" s="3116"/>
      <c r="G102" s="2516" t="s">
        <v>2302</v>
      </c>
      <c r="H102" s="370" t="e">
        <f ca="1">I118</f>
        <v>#N/A</v>
      </c>
      <c r="I102" s="137"/>
    </row>
    <row r="103" spans="1:35" ht="42.75" customHeight="1">
      <c r="A103" s="3145"/>
      <c r="B103" s="2516" t="s">
        <v>2302</v>
      </c>
      <c r="C103" s="736">
        <f ca="1">C20</f>
        <v>13577</v>
      </c>
      <c r="D103" s="737" t="e">
        <f ca="1">D20</f>
        <v>#N/A</v>
      </c>
      <c r="E103" s="3109" t="s">
        <v>2303</v>
      </c>
      <c r="F103" s="3110"/>
      <c r="G103" s="2517" t="s">
        <v>2304</v>
      </c>
      <c r="H103" s="1043">
        <f>IF(D36="正常操作",H104+H105+H106,H105+H106)</f>
        <v>0</v>
      </c>
      <c r="I103" s="137"/>
    </row>
    <row r="104" spans="1:35" ht="18.75" customHeight="1">
      <c r="A104" s="3145" t="s">
        <v>2305</v>
      </c>
      <c r="B104" s="2518" t="s">
        <v>2300</v>
      </c>
      <c r="C104" s="738" t="e">
        <f ca="1">H118</f>
        <v>#N/A</v>
      </c>
      <c r="D104" s="739"/>
      <c r="E104" s="2262" t="s">
        <v>2306</v>
      </c>
      <c r="F104" s="2253"/>
      <c r="G104" s="2517" t="s">
        <v>2304</v>
      </c>
      <c r="H104" s="1044">
        <f>IF(D36="同一抵押权人同一抵押物续贷",C36&amp;"（未扣减，详见特别提示）",C36)</f>
        <v>0</v>
      </c>
      <c r="I104" s="137"/>
    </row>
    <row r="105" spans="1:35" ht="18.75" customHeight="1" thickBot="1">
      <c r="A105" s="3157"/>
      <c r="B105" s="2519" t="s">
        <v>2302</v>
      </c>
      <c r="C105" s="740" t="e">
        <f ca="1">I118</f>
        <v>#N/A</v>
      </c>
      <c r="D105" s="741"/>
      <c r="E105" s="2262" t="s">
        <v>2307</v>
      </c>
      <c r="F105" s="2253"/>
      <c r="G105" s="2517" t="s">
        <v>2304</v>
      </c>
      <c r="H105" s="1044">
        <f>C37</f>
        <v>0</v>
      </c>
      <c r="I105" s="137"/>
    </row>
    <row r="106" spans="1:35" ht="18.75" customHeight="1">
      <c r="A106" s="2414" t="s">
        <v>2308</v>
      </c>
      <c r="B106" s="2414"/>
      <c r="C106" s="2414"/>
      <c r="D106" s="2414"/>
      <c r="E106" s="2520" t="s">
        <v>2309</v>
      </c>
      <c r="F106" s="2253"/>
      <c r="G106" s="2517" t="s">
        <v>2304</v>
      </c>
      <c r="H106" s="1044">
        <f>C38</f>
        <v>0</v>
      </c>
      <c r="I106" s="137"/>
    </row>
    <row r="107" spans="1:35" ht="18.75" customHeight="1">
      <c r="A107" s="137"/>
      <c r="B107" s="137"/>
      <c r="C107" s="137"/>
      <c r="D107" s="137"/>
      <c r="E107" s="3146" t="str">
        <f>IF(项目基本情况!E8="已注销","——","3.房地产抵押价值")</f>
        <v>——</v>
      </c>
      <c r="F107" s="3116"/>
      <c r="G107" s="2516" t="s">
        <v>2300</v>
      </c>
      <c r="H107" s="1043" t="str">
        <f>IF(E107="——","——",H101-H103)</f>
        <v>——</v>
      </c>
      <c r="I107" s="137"/>
    </row>
    <row r="108" spans="1:35" ht="18.75" customHeight="1">
      <c r="A108" s="137"/>
      <c r="B108" s="137"/>
      <c r="C108" s="137"/>
      <c r="D108" s="137"/>
      <c r="E108" s="3146"/>
      <c r="F108" s="3116"/>
      <c r="G108" s="2516" t="s">
        <v>2302</v>
      </c>
      <c r="H108" s="370" t="e">
        <f>ROUND(H107*10000/'数据-汇总表'!E3,0)</f>
        <v>#VALUE!</v>
      </c>
      <c r="I108" s="137"/>
    </row>
    <row r="109" spans="1:35" ht="18.75" customHeight="1">
      <c r="A109" s="137"/>
      <c r="B109" s="137"/>
      <c r="C109" s="137"/>
      <c r="D109" s="137"/>
      <c r="E109" s="3146" t="str">
        <f>IF(项目基本情况!E8="已注销及未注销","4.抵押担保权已注销时的房地产抵押价值",IF(项目基本情况!E8="已注销","3.抵押担保权已注销时的房地产抵押价值","——"))</f>
        <v>3.抵押担保权已注销时的房地产抵押价值</v>
      </c>
      <c r="F109" s="3116"/>
      <c r="G109" s="2516" t="s">
        <v>2300</v>
      </c>
      <c r="H109" s="347" t="e">
        <f ca="1">IF(E109="——","——",H101-H105-H106)</f>
        <v>#N/A</v>
      </c>
      <c r="I109" s="137"/>
    </row>
    <row r="110" spans="1:35" ht="18.75" customHeight="1">
      <c r="A110" s="137"/>
      <c r="B110" s="137"/>
      <c r="C110" s="137"/>
      <c r="D110" s="137"/>
      <c r="E110" s="3146"/>
      <c r="F110" s="3116"/>
      <c r="G110" s="2516" t="s">
        <v>2302</v>
      </c>
      <c r="H110" s="370" t="e">
        <f ca="1">IF(H109="——","——",ROUND(H109*10000/'数据-汇总表'!E3,0))</f>
        <v>#N/A</v>
      </c>
      <c r="I110" s="137"/>
    </row>
    <row r="111" spans="1:35" ht="18.75" customHeight="1">
      <c r="A111" s="137"/>
      <c r="B111" s="137"/>
      <c r="C111" s="137"/>
      <c r="D111" s="137"/>
      <c r="E111" s="3147" t="str">
        <f>IF(项目基本情况!E9="抵押净值",IF(OR(项目基本情况!E8="已注销",项目基本情况!E8="房地产抵押价值"),"4.抵押净值","5.抵押净值"),"——")</f>
        <v>——</v>
      </c>
      <c r="F111" s="3148"/>
      <c r="G111" s="2516" t="s">
        <v>2300</v>
      </c>
      <c r="H111" s="1043" t="str">
        <f>IF(E111="——","——",N59)</f>
        <v>——</v>
      </c>
      <c r="I111" s="137"/>
    </row>
    <row r="112" spans="1:35" ht="18.75" customHeight="1" thickBot="1">
      <c r="A112" s="137"/>
      <c r="B112" s="137"/>
      <c r="C112" s="137"/>
      <c r="D112" s="137"/>
      <c r="E112" s="3149"/>
      <c r="F112" s="3150"/>
      <c r="G112" s="2521" t="s">
        <v>2302</v>
      </c>
      <c r="H112" s="788" t="str">
        <f>IF(E111="——","——",N61)</f>
        <v>——</v>
      </c>
      <c r="I112" s="137"/>
    </row>
    <row r="113" spans="1:11" ht="18.75" customHeight="1">
      <c r="A113" s="137"/>
      <c r="B113" s="137"/>
      <c r="C113" s="137"/>
      <c r="D113" s="137"/>
      <c r="E113" s="3158" t="s">
        <v>2308</v>
      </c>
      <c r="F113" s="3158"/>
      <c r="G113" s="3158"/>
      <c r="H113" s="3158"/>
      <c r="I113" s="137"/>
    </row>
    <row r="114" spans="1:11" ht="3.75" customHeight="1">
      <c r="A114" s="2414"/>
      <c r="B114" s="2414"/>
      <c r="C114" s="2414"/>
      <c r="D114" s="2414"/>
      <c r="E114" s="2492"/>
      <c r="F114" s="2492"/>
      <c r="G114" s="2492"/>
      <c r="H114" s="2492"/>
      <c r="I114" s="2414"/>
    </row>
    <row r="115" spans="1:11" ht="18.75" customHeight="1">
      <c r="A115" s="3171" t="s">
        <v>2310</v>
      </c>
      <c r="B115" s="3172"/>
      <c r="C115" s="3172"/>
      <c r="D115" s="3172"/>
      <c r="E115" s="3172"/>
      <c r="F115" s="3172"/>
      <c r="G115" s="3172"/>
      <c r="H115" s="3172"/>
      <c r="I115" s="3173"/>
    </row>
    <row r="116" spans="1:11" ht="27" customHeight="1">
      <c r="A116" s="3077" t="s">
        <v>2311</v>
      </c>
      <c r="B116" s="3125" t="s">
        <v>2312</v>
      </c>
      <c r="C116" s="3125" t="s">
        <v>2313</v>
      </c>
      <c r="D116" s="3131" t="s">
        <v>2314</v>
      </c>
      <c r="E116" s="3132"/>
      <c r="F116" s="3167" t="s">
        <v>2315</v>
      </c>
      <c r="G116" s="3167"/>
      <c r="H116" s="3077" t="s">
        <v>2316</v>
      </c>
      <c r="I116" s="3077"/>
    </row>
    <row r="117" spans="1:11" ht="18.75" customHeight="1">
      <c r="A117" s="3077"/>
      <c r="B117" s="3126"/>
      <c r="C117" s="3126"/>
      <c r="D117" s="1793" t="s">
        <v>2317</v>
      </c>
      <c r="E117" s="1793" t="s">
        <v>2318</v>
      </c>
      <c r="F117" s="1793" t="s">
        <v>2317</v>
      </c>
      <c r="G117" s="1793" t="s">
        <v>2319</v>
      </c>
      <c r="H117" s="1793" t="s">
        <v>2317</v>
      </c>
      <c r="I117" s="1793" t="s">
        <v>2319</v>
      </c>
    </row>
    <row r="118" spans="1:11" ht="24.75" customHeight="1">
      <c r="A118" s="2522" t="str">
        <f>项目基本情况!S2</f>
        <v>重庆市南岸区弹子石D4-1-1/04、D4-1-2/04地块出让国有建设用地使用权及在建建筑物房地产</v>
      </c>
      <c r="B118" s="1793">
        <f>M18</f>
        <v>3217.2100000000009</v>
      </c>
      <c r="C118" s="1793">
        <f>M19</f>
        <v>900.43</v>
      </c>
      <c r="D118" s="1793" t="e">
        <f ca="1">ROUND(IF(D32="总价",C34,E118*B118/10000),0)</f>
        <v>#N/A</v>
      </c>
      <c r="E118" s="1793" t="e">
        <f ca="1">ROUND(IF(C33="自定义",IF(D32="楼面单价",C34,D118*10000/B118),I118-G118),0)</f>
        <v>#N/A</v>
      </c>
      <c r="F118" s="1793" t="e">
        <f ca="1">ROUND(IF(D32="总价",C35,G118*B118/10000),0)</f>
        <v>#N/A</v>
      </c>
      <c r="G118" s="1793" t="e">
        <f ca="1">ROUND(IF(D32="楼面单价",C35,F118*10000/B118),0)</f>
        <v>#N/A</v>
      </c>
      <c r="H118" s="1793" t="e">
        <f ca="1">ROUND(IF(D32="总价",C32,I118*B118/10000),0)</f>
        <v>#N/A</v>
      </c>
      <c r="I118" s="1793" t="e">
        <f ca="1">ROUND(IF(D32="楼面单价",C32,H118*10000/B118),0)</f>
        <v>#N/A</v>
      </c>
    </row>
    <row r="119" spans="1:11" ht="18.75" customHeight="1">
      <c r="A119" s="3077" t="s">
        <v>2320</v>
      </c>
      <c r="B119" s="3077"/>
      <c r="C119" s="3077"/>
      <c r="D119" s="3127" t="e">
        <f ca="1">NUMBERSTRING(INT(D118*10000),2)&amp;"元整"</f>
        <v>#N/A</v>
      </c>
      <c r="E119" s="3128"/>
      <c r="F119" s="3127" t="e">
        <f ca="1">NUMBERSTRING(INT(F118*10000),2)&amp;"元整"</f>
        <v>#N/A</v>
      </c>
      <c r="G119" s="3128"/>
      <c r="H119" s="3127" t="e">
        <f ca="1">NUMBERSTRING(INT(H118*10000),2)&amp;"元整"</f>
        <v>#N/A</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19" t="str">
        <f>IF(D120=0,"故，本次评估不存在"&amp;A120,"故，本次评估"&amp;A120&amp;"为人民币"&amp;D120&amp;"万元整。")</f>
        <v>故，本次评估不存在估价师知悉的法定优先受偿款</v>
      </c>
    </row>
    <row r="121" spans="1:11" ht="18.75" customHeight="1">
      <c r="A121" s="3168" t="s">
        <v>2320</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
      </c>
      <c r="B122" s="3133"/>
      <c r="C122" s="3133"/>
      <c r="D122" s="3122" t="str">
        <f>H107</f>
        <v>——</v>
      </c>
      <c r="E122" s="3123"/>
      <c r="F122" s="3123"/>
      <c r="G122" s="3123"/>
      <c r="H122" s="3123"/>
      <c r="I122" s="3124"/>
    </row>
    <row r="123" spans="1:11" ht="18.75" customHeight="1">
      <c r="A123" s="3077" t="s">
        <v>2320</v>
      </c>
      <c r="B123" s="3077"/>
      <c r="C123" s="3077"/>
      <c r="D123" s="3127" t="e">
        <f>NUMBERSTRING(INT(D122*10000),2)&amp;"元整"</f>
        <v>#VALUE!</v>
      </c>
      <c r="E123" s="3129"/>
      <c r="F123" s="3129"/>
      <c r="G123" s="3129"/>
      <c r="H123" s="3129"/>
      <c r="I123" s="3128"/>
    </row>
    <row r="124" spans="1:11" ht="18.75" customHeight="1">
      <c r="A124" s="3133" t="str">
        <f>IF(项目基本情况!B9="房地产市场价值","",MID(E109,3,LEN(E109)-2))</f>
        <v>抵押担保权已注销时的房地产抵押价值</v>
      </c>
      <c r="B124" s="3133"/>
      <c r="C124" s="3133"/>
      <c r="D124" s="3122" t="e">
        <f ca="1">H109</f>
        <v>#N/A</v>
      </c>
      <c r="E124" s="3123"/>
      <c r="F124" s="3123"/>
      <c r="G124" s="3123"/>
      <c r="H124" s="3123"/>
      <c r="I124" s="3124"/>
    </row>
    <row r="125" spans="1:11" ht="18.75" customHeight="1">
      <c r="A125" s="3077" t="s">
        <v>2320</v>
      </c>
      <c r="B125" s="3077"/>
      <c r="C125" s="3077"/>
      <c r="D125" s="3127" t="e">
        <f ca="1">NUMBERSTRING(INT(D124*10000),2)&amp;"元整"</f>
        <v>#N/A</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77" t="s">
        <v>2320</v>
      </c>
      <c r="B127" s="3077"/>
      <c r="C127" s="3077"/>
      <c r="D127" s="3127" t="e">
        <f>NUMBERSTRING(INT(D126*10000),2)&amp;"元整"</f>
        <v>#VALUE!</v>
      </c>
      <c r="E127" s="3129"/>
      <c r="F127" s="3129"/>
      <c r="G127" s="3129"/>
      <c r="H127" s="3129"/>
      <c r="I127" s="3128"/>
    </row>
    <row r="128" spans="1:11" ht="21.75" customHeight="1">
      <c r="A128" s="3130" t="s">
        <v>2321</v>
      </c>
      <c r="B128" s="3130"/>
      <c r="C128" s="3130"/>
      <c r="D128" s="3130"/>
      <c r="E128" s="3130"/>
      <c r="F128" s="3130"/>
      <c r="G128" s="3130"/>
      <c r="H128" s="3130"/>
      <c r="I128" s="3130"/>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2324</v>
      </c>
      <c r="G135" s="2540"/>
      <c r="H135" s="2540"/>
      <c r="I135" s="2541" t="s">
        <v>2325</v>
      </c>
    </row>
    <row r="136" spans="1:35" ht="21.75" customHeight="1">
      <c r="A136" s="793"/>
      <c r="B136" s="2542"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2327</v>
      </c>
    </row>
    <row r="139" spans="1:35" ht="21.75" customHeight="1">
      <c r="A139" s="793"/>
      <c r="B139" s="2542" t="s">
        <v>2328</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2327</v>
      </c>
    </row>
    <row r="142" spans="1:35" ht="21.75" customHeight="1">
      <c r="A142" s="793"/>
      <c r="B142" s="2542"/>
      <c r="C142" s="2543"/>
      <c r="D142" s="2544"/>
      <c r="E142" s="2544"/>
      <c r="F142" s="2336"/>
      <c r="G142" s="793"/>
      <c r="H142" s="793"/>
      <c r="I142" s="793"/>
    </row>
    <row r="143" spans="1:35" s="138"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1" t="str">
        <f>项目基本情况!B1</f>
        <v>重庆市南岸区弹子石D4-1-1/04、D4-1-2/04地块出让国有建设用地使用权及在建建筑物房地产抵押价值预评估</v>
      </c>
      <c r="C37" s="3011"/>
      <c r="D37" s="3011"/>
      <c r="E37" s="3011"/>
      <c r="F37" s="3011"/>
      <c r="G37" s="3011"/>
      <c r="H37" s="3011"/>
      <c r="I37" s="3011"/>
    </row>
    <row r="38" spans="1:9">
      <c r="A38" s="1014"/>
      <c r="B38" s="1014"/>
    </row>
    <row r="39" spans="1:9">
      <c r="A39" s="1012" t="s">
        <v>818</v>
      </c>
      <c r="B39" s="1012" t="s">
        <v>820</v>
      </c>
    </row>
    <row r="40" spans="1:9">
      <c r="A40" s="1012"/>
      <c r="B40" s="1940" t="str">
        <f>项目基本情况!B5</f>
        <v>重庆核盛房地产开发有限公司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3" sqref="E2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5"/>
      <c r="C1" s="241"/>
      <c r="D1" s="241"/>
      <c r="E1" s="241"/>
      <c r="F1" s="241"/>
      <c r="G1" s="1377">
        <f>MATCH(B1,'数据-取费表'!A6:A16,0)+5</f>
        <v>8</v>
      </c>
    </row>
    <row r="2" spans="1:9" s="243" customFormat="1" ht="18" customHeight="1">
      <c r="A2" s="244" t="s">
        <v>2330</v>
      </c>
      <c r="B2" s="245">
        <f ca="1">IF(D2="——",C52,C52-E2)</f>
        <v>4368</v>
      </c>
      <c r="C2" s="242" t="s">
        <v>2331</v>
      </c>
      <c r="D2" s="2545" t="s">
        <v>70</v>
      </c>
      <c r="E2" s="1438" t="e">
        <f ca="1">SUMIF(INDIRECT("'"&amp;G2&amp;"'"&amp;"!A:A"),"承租人权益价值",INDIRECT("'"&amp;G2&amp;"'"&amp;"!c:c"))</f>
        <v>#REF!</v>
      </c>
      <c r="F2" s="2546" t="s">
        <v>2331</v>
      </c>
      <c r="G2" s="2547"/>
    </row>
    <row r="3" spans="1:9" s="243" customFormat="1" ht="18" customHeight="1" thickBot="1">
      <c r="A3" s="246" t="s">
        <v>2332</v>
      </c>
      <c r="B3" s="247">
        <f ca="1">ROUND(B2*10000/(IF(B1="",'数据-汇总表'!E3,INDIRECT("'数据-取费表'!k"&amp;$G$1))),0)</f>
        <v>13577</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2388</v>
      </c>
      <c r="D5" s="254" t="s">
        <v>2337</v>
      </c>
      <c r="E5" s="255" t="s">
        <v>2338</v>
      </c>
      <c r="F5" s="255" t="s">
        <v>2339</v>
      </c>
      <c r="G5" s="256"/>
    </row>
    <row r="6" spans="1:9" s="257" customFormat="1" ht="13.5" customHeight="1">
      <c r="A6" s="947" t="s">
        <v>2340</v>
      </c>
      <c r="B6" s="258" t="s">
        <v>2341</v>
      </c>
      <c r="C6" s="259">
        <f>'土地比较法-住宅、综合'!B2</f>
        <v>2227</v>
      </c>
      <c r="D6" s="260"/>
      <c r="E6" s="261"/>
      <c r="F6" s="261"/>
      <c r="G6" s="262"/>
    </row>
    <row r="7" spans="1:9" s="257" customFormat="1" ht="13.5" customHeight="1">
      <c r="A7" s="947" t="s">
        <v>2342</v>
      </c>
      <c r="B7" s="258" t="s">
        <v>2343</v>
      </c>
      <c r="C7" s="263">
        <f>ROUND(C6*F7,0)</f>
        <v>68</v>
      </c>
      <c r="D7" s="263"/>
      <c r="E7" s="261"/>
      <c r="F7" s="264">
        <f>'数据-取费表'!B48+'数据-取费表'!B49</f>
        <v>3.0499999999999999E-2</v>
      </c>
      <c r="G7" s="262"/>
    </row>
    <row r="8" spans="1:9" s="266" customFormat="1">
      <c r="A8" s="947" t="s">
        <v>2344</v>
      </c>
      <c r="B8" s="258" t="s">
        <v>2345</v>
      </c>
      <c r="C8" s="263">
        <f ca="1">IF(G8="已包含在土地购买价格中","0",IF(B1="",'数据-取费表'!B29,IF(G9="全部缴纳",C9+C10,H9)))</f>
        <v>93</v>
      </c>
      <c r="D8" s="265"/>
      <c r="E8" s="263"/>
      <c r="F8" s="264"/>
      <c r="G8" s="2548" t="s">
        <v>3143</v>
      </c>
    </row>
    <row r="9" spans="1:9" s="257" customFormat="1" ht="13.5" customHeight="1">
      <c r="A9" s="948" t="s">
        <v>800</v>
      </c>
      <c r="B9" s="267" t="s">
        <v>2346</v>
      </c>
      <c r="C9" s="268">
        <f ca="1">ROUND(D9*E9/10000,0)</f>
        <v>62</v>
      </c>
      <c r="D9" s="1030">
        <f ca="1">IF(B1="",'数据-汇总表'!E5,IF(INDIRECT("'数据-取费表'!c"&amp;$G$1)="住宅",INDIRECT("'数据-取费表'!k"&amp;$G$1),0))</f>
        <v>2154.4800000000009</v>
      </c>
      <c r="E9" s="268">
        <f>'数据-取费表'!B27</f>
        <v>290</v>
      </c>
      <c r="F9" s="264"/>
      <c r="G9" s="2549"/>
      <c r="H9" s="1388"/>
      <c r="I9" s="2550" t="s">
        <v>2347</v>
      </c>
    </row>
    <row r="10" spans="1:9" s="257" customFormat="1" ht="13.5" customHeight="1">
      <c r="A10" s="948" t="s">
        <v>801</v>
      </c>
      <c r="B10" s="267" t="s">
        <v>2348</v>
      </c>
      <c r="C10" s="268">
        <f ca="1">ROUND(D10*E10/10000,0)</f>
        <v>31</v>
      </c>
      <c r="D10" s="1030">
        <f ca="1">IF(B1="",'数据-汇总表'!E6,IF(INDIRECT("'数据-取费表'!c"&amp;$G$1)="住宅",INDIRECT("'数据-取费表'!s"&amp;$G$1),INDIRECT("'数据-取费表'!k"&amp;$G$1)+INDIRECT("'数据-取费表'!s"&amp;$G$1)))</f>
        <v>1062.73</v>
      </c>
      <c r="E10" s="268">
        <f>'数据-取费表'!B28</f>
        <v>290</v>
      </c>
      <c r="F10" s="264"/>
      <c r="G10" s="269"/>
    </row>
    <row r="11" spans="1:9" s="257" customFormat="1" ht="13.5" hidden="1" customHeight="1">
      <c r="A11" s="270" t="s">
        <v>7</v>
      </c>
      <c r="B11" s="258" t="s">
        <v>2349</v>
      </c>
      <c r="C11" s="254"/>
      <c r="D11" s="1032"/>
      <c r="E11" s="261"/>
      <c r="F11" s="261"/>
      <c r="G11" s="262"/>
    </row>
    <row r="12" spans="1:9" s="257" customFormat="1" ht="13.5" hidden="1" customHeight="1">
      <c r="A12" s="270" t="s">
        <v>8</v>
      </c>
      <c r="B12" s="258" t="s">
        <v>2350</v>
      </c>
      <c r="C12" s="254">
        <v>0</v>
      </c>
      <c r="D12" s="1032"/>
      <c r="E12" s="271"/>
      <c r="F12" s="264">
        <v>3.0499999999999999E-2</v>
      </c>
      <c r="G12" s="262"/>
    </row>
    <row r="13" spans="1:9" s="257" customFormat="1" ht="13.5" hidden="1" customHeight="1">
      <c r="A13" s="270" t="s">
        <v>9</v>
      </c>
      <c r="B13" s="258" t="s">
        <v>2351</v>
      </c>
      <c r="C13" s="254"/>
      <c r="D13" s="1032"/>
      <c r="E13" s="261"/>
      <c r="F13" s="261"/>
      <c r="G13" s="262"/>
    </row>
    <row r="14" spans="1:9" s="257" customFormat="1" ht="13.5" hidden="1" customHeight="1">
      <c r="A14" s="270" t="s">
        <v>10</v>
      </c>
      <c r="B14" s="258" t="s">
        <v>2352</v>
      </c>
      <c r="C14" s="254"/>
      <c r="D14" s="1032"/>
      <c r="E14" s="261"/>
      <c r="F14" s="261"/>
      <c r="G14" s="262" t="s">
        <v>2353</v>
      </c>
    </row>
    <row r="15" spans="1:9" s="257" customFormat="1" ht="13.5" hidden="1" customHeight="1">
      <c r="A15" s="270" t="s">
        <v>11</v>
      </c>
      <c r="B15" s="258" t="s">
        <v>2354</v>
      </c>
      <c r="C15" s="263"/>
      <c r="D15" s="1032"/>
      <c r="E15" s="261"/>
      <c r="F15" s="261"/>
      <c r="G15" s="262" t="s">
        <v>2355</v>
      </c>
    </row>
    <row r="16" spans="1:9" s="257" customFormat="1" ht="13.5" hidden="1" customHeight="1">
      <c r="A16" s="270" t="s">
        <v>12</v>
      </c>
      <c r="B16" s="258" t="s">
        <v>2352</v>
      </c>
      <c r="C16" s="263"/>
      <c r="D16" s="1032"/>
      <c r="E16" s="261"/>
      <c r="F16" s="261"/>
      <c r="G16" s="262"/>
    </row>
    <row r="17" spans="1:7" s="257" customFormat="1" ht="13.5" hidden="1" customHeight="1">
      <c r="A17" s="270" t="s">
        <v>13</v>
      </c>
      <c r="B17" s="258" t="s">
        <v>2356</v>
      </c>
      <c r="C17" s="272"/>
      <c r="D17" s="1033"/>
      <c r="E17" s="272"/>
      <c r="F17" s="272"/>
      <c r="G17" s="262" t="s">
        <v>2355</v>
      </c>
    </row>
    <row r="18" spans="1:7" s="257" customFormat="1" ht="13.5" hidden="1" customHeight="1">
      <c r="A18" s="270" t="s">
        <v>14</v>
      </c>
      <c r="B18" s="258" t="s">
        <v>2357</v>
      </c>
      <c r="C18" s="263">
        <v>0</v>
      </c>
      <c r="D18" s="1032"/>
      <c r="E18" s="261"/>
      <c r="F18" s="264">
        <v>3.0499999999999999E-2</v>
      </c>
      <c r="G18" s="262" t="s">
        <v>2358</v>
      </c>
    </row>
    <row r="19" spans="1:7" s="266" customFormat="1" ht="13.5" customHeight="1">
      <c r="A19" s="298" t="s">
        <v>2359</v>
      </c>
      <c r="B19" s="253" t="s">
        <v>2360</v>
      </c>
      <c r="C19" s="254" t="str">
        <f>IF(G19="已包含在土地取得成本中","0",ROUND(D19*E19/10000,0))</f>
        <v>0</v>
      </c>
      <c r="D19" s="1034">
        <f ca="1">D9+D10</f>
        <v>3217.2100000000009</v>
      </c>
      <c r="E19" s="254">
        <f>'数据-取费表'!B31</f>
        <v>200</v>
      </c>
      <c r="F19" s="274"/>
      <c r="G19" s="2548" t="s">
        <v>3144</v>
      </c>
    </row>
    <row r="20" spans="1:7" s="257" customFormat="1" ht="13.5" customHeight="1">
      <c r="A20" s="298" t="s">
        <v>2361</v>
      </c>
      <c r="B20" s="253" t="s">
        <v>2362</v>
      </c>
      <c r="C20" s="275">
        <f ca="1">ROUND((C5+C19)*F20,0)</f>
        <v>48</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2">
        <f ca="1">ROUND(SUM(C23:C25),0)</f>
        <v>234</v>
      </c>
      <c r="D22" s="278">
        <f ca="1">C26</f>
        <v>1E-3</v>
      </c>
      <c r="E22" s="279" t="s">
        <v>2366</v>
      </c>
      <c r="F22" s="280">
        <f ca="1">'数据-取费表'!B40</f>
        <v>4.7500000000000001E-2</v>
      </c>
      <c r="G22" s="277" t="str">
        <f>IF('数据-取费表'!B22&lt;=1,"单利计息","复利计息")</f>
        <v>复利计息</v>
      </c>
    </row>
    <row r="23" spans="1:7" s="257" customFormat="1" ht="13.5" customHeight="1">
      <c r="A23" s="949" t="s">
        <v>2370</v>
      </c>
      <c r="B23" s="258" t="s">
        <v>2371</v>
      </c>
      <c r="C23" s="1353">
        <f ca="1">ROUND(IF('数据-取费表'!B22&lt;=1,C5*F22*'数据-取费表'!B23,C5*(POWER((1+F22),'数据-取费表'!B23)-1)),0)</f>
        <v>232</v>
      </c>
      <c r="D23" s="281"/>
      <c r="E23" s="281"/>
      <c r="F23" s="282"/>
      <c r="G23" s="283" t="s">
        <v>2372</v>
      </c>
    </row>
    <row r="24" spans="1:7" s="257" customFormat="1" ht="13.5" customHeight="1">
      <c r="A24" s="949"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49" t="s">
        <v>2376</v>
      </c>
      <c r="B25" s="258" t="s">
        <v>2377</v>
      </c>
      <c r="C25" s="1353">
        <f ca="1">ROUND(IF('数据-取费表'!B22&lt;=1,C20*F22*'数据-取费表'!B23/2,C20*(POWER((1+F22),'数据-取费表'!B23/2)-1)),0)</f>
        <v>2</v>
      </c>
      <c r="D25" s="281"/>
      <c r="E25" s="284"/>
      <c r="F25" s="282"/>
      <c r="G25" s="285" t="s">
        <v>2378</v>
      </c>
    </row>
    <row r="26" spans="1:7" s="257" customFormat="1">
      <c r="A26" s="949" t="s">
        <v>795</v>
      </c>
      <c r="B26" s="258" t="s">
        <v>2379</v>
      </c>
      <c r="C26" s="281">
        <f ca="1">ROUND(IF('数据-取费表'!B22&lt;=1,F21*F22*'数据-取费表'!B23/2,F21*(POWER((1+F22),'数据-取费表'!B23/2)-1)),4)</f>
        <v>1E-3</v>
      </c>
      <c r="D26" s="281"/>
      <c r="E26" s="284"/>
      <c r="F26" s="282"/>
      <c r="G26" s="286"/>
    </row>
    <row r="27" spans="1:7" s="257" customFormat="1" ht="24.75">
      <c r="A27" s="298" t="s">
        <v>2380</v>
      </c>
      <c r="B27" s="287" t="s">
        <v>2381</v>
      </c>
      <c r="C27" s="288">
        <f ca="1">C28</f>
        <v>438</v>
      </c>
      <c r="D27" s="278">
        <f ca="1">C29</f>
        <v>3.5999999999999999E-3</v>
      </c>
      <c r="E27" s="279" t="s">
        <v>2382</v>
      </c>
      <c r="F27" s="289">
        <f ca="1">IF(B1="",'数据-取费表'!Q16,INDIRECT("'数据-取费表'!q"&amp;$G$1))</f>
        <v>0.18</v>
      </c>
      <c r="G27" s="290" t="s">
        <v>2383</v>
      </c>
    </row>
    <row r="28" spans="1:7" s="257" customFormat="1" ht="13.5" customHeight="1">
      <c r="A28" s="949" t="s">
        <v>791</v>
      </c>
      <c r="B28" s="291" t="s">
        <v>2384</v>
      </c>
      <c r="C28" s="292">
        <f ca="1">ROUND((C5+C19+C20)*F27*'数据-取费表'!B21/'数据-取费表'!B20,0)</f>
        <v>438</v>
      </c>
      <c r="D28" s="278"/>
      <c r="E28" s="279"/>
      <c r="F28" s="289"/>
      <c r="G28" s="290"/>
    </row>
    <row r="29" spans="1:7" s="257" customFormat="1" ht="13.5" customHeight="1">
      <c r="A29" s="949" t="s">
        <v>792</v>
      </c>
      <c r="B29" s="291" t="s">
        <v>2385</v>
      </c>
      <c r="C29" s="281">
        <f ca="1">ROUND(C21*F27*'数据-取费表'!B21/'数据-取费表'!B20,4)</f>
        <v>3.5999999999999999E-3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3371</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733</v>
      </c>
      <c r="D33" s="275"/>
      <c r="E33" s="255"/>
      <c r="F33" s="284"/>
      <c r="G33" s="277"/>
    </row>
    <row r="34" spans="1:7" s="301" customFormat="1" ht="13.5" customHeight="1">
      <c r="A34" s="949" t="s">
        <v>791</v>
      </c>
      <c r="B34" s="258" t="s">
        <v>2393</v>
      </c>
      <c r="C34" s="263">
        <f ca="1">IF(B1="",IF(F34=100%,'数据-取费表'!M16,'数据-取费表'!O16),IF(F34=100%,INDIRECT("'数据-取费表'!m"&amp;$G$1)+INDIRECT("'数据-取费表'!t"&amp;$G$1),INDIRECT("'数据-取费表'!o"&amp;$G$1)+INDIRECT("'数据-取费表'!aq"&amp;$G$1)))</f>
        <v>622</v>
      </c>
      <c r="D34" s="260"/>
      <c r="E34" s="263"/>
      <c r="F34" s="300">
        <f ca="1">IF('数据-取费表'!B24=0,1,IF(B1="",'数据-取费表'!N16,INDIRECT("'数据-取费表'!n"&amp;$G$1)))</f>
        <v>1</v>
      </c>
      <c r="G34" s="262" t="s">
        <v>2394</v>
      </c>
    </row>
    <row r="35" spans="1:7" ht="13.5" customHeight="1">
      <c r="A35" s="949" t="s">
        <v>796</v>
      </c>
      <c r="B35" s="258" t="s">
        <v>2395</v>
      </c>
      <c r="C35" s="263">
        <f ca="1">ROUND(C34*F35,0)</f>
        <v>19</v>
      </c>
      <c r="D35" s="263"/>
      <c r="E35" s="263"/>
      <c r="F35" s="302">
        <f>'数据-取费表'!B33</f>
        <v>0.03</v>
      </c>
      <c r="G35" s="262" t="s">
        <v>2396</v>
      </c>
    </row>
    <row r="36" spans="1:7" ht="24">
      <c r="A36" s="949" t="s">
        <v>797</v>
      </c>
      <c r="B36" s="258" t="s">
        <v>2397</v>
      </c>
      <c r="C36" s="263">
        <f ca="1">ROUND(IF(B1="",SUMIF('数据-取费表'!C:C,"住宅",IF(F34=100%,'数据-取费表'!M:M,'数据-取费表'!O:O))*F36,IF(INDIRECT("'数据-取费表'!c"&amp;$G$1)="住宅",IF(F34=100%,INDIRECT("'数据-取费表'!m"&amp;$G$1)*F36,INDIRECT("'数据-取费表'!o"&amp;$G$1)*F36),0)),0)</f>
        <v>19</v>
      </c>
      <c r="D36" s="263"/>
      <c r="E36" s="263"/>
      <c r="F36" s="302">
        <f>'数据-取费表'!B34</f>
        <v>0.05</v>
      </c>
      <c r="G36" s="303" t="s">
        <v>2398</v>
      </c>
    </row>
    <row r="37" spans="1:7" s="301" customFormat="1" ht="13.5" customHeight="1">
      <c r="A37" s="949" t="s">
        <v>798</v>
      </c>
      <c r="B37" s="258" t="s">
        <v>2399</v>
      </c>
      <c r="C37" s="292">
        <f ca="1">ROUND(E37*D37*F34/10000,0)</f>
        <v>64</v>
      </c>
      <c r="D37" s="260">
        <f ca="1">D19</f>
        <v>3217.2100000000009</v>
      </c>
      <c r="E37" s="292">
        <f>'数据-取费表'!B35</f>
        <v>200</v>
      </c>
      <c r="F37" s="302"/>
      <c r="G37" s="304" t="s">
        <v>2400</v>
      </c>
    </row>
    <row r="38" spans="1:7" ht="13.5" customHeight="1">
      <c r="A38" s="949" t="s">
        <v>799</v>
      </c>
      <c r="B38" s="258" t="s">
        <v>2401</v>
      </c>
      <c r="C38" s="263">
        <f ca="1">ROUND(C34*F38,0)</f>
        <v>9</v>
      </c>
      <c r="D38" s="263"/>
      <c r="E38" s="263"/>
      <c r="F38" s="302">
        <f>'数据-取费表'!B36</f>
        <v>1.4999999999999999E-2</v>
      </c>
      <c r="G38" s="262" t="s">
        <v>2396</v>
      </c>
    </row>
    <row r="39" spans="1:7" s="257" customFormat="1" ht="13.5" customHeight="1">
      <c r="A39" s="298" t="s">
        <v>2402</v>
      </c>
      <c r="B39" s="253" t="s">
        <v>2403</v>
      </c>
      <c r="C39" s="275">
        <f ca="1">ROUND(C33*F20,0)</f>
        <v>15</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36</v>
      </c>
      <c r="D41" s="278">
        <f ca="1">C44</f>
        <v>1E-3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ROUND(IF('数据-取费表'!B22&lt;=1,C33*F22*'数据-取费表'!B21/2,C33*(POWER((1+F22),'数据-取费表'!B21/2)-1)),0)</f>
        <v>35</v>
      </c>
      <c r="D42" s="281"/>
      <c r="E42" s="281"/>
      <c r="F42" s="282"/>
      <c r="G42" s="3202" t="s">
        <v>2412</v>
      </c>
    </row>
    <row r="43" spans="1:7" ht="13.5" customHeight="1">
      <c r="A43" s="949" t="s">
        <v>792</v>
      </c>
      <c r="B43" s="258" t="s">
        <v>2413</v>
      </c>
      <c r="C43" s="281">
        <f ca="1">ROUND(IF('数据-取费表'!B22&lt;=1,C39*F22*'数据-取费表'!B21/2,C39*(POWER((1+F22),'数据-取费表'!B21/2)-1)),0)</f>
        <v>1</v>
      </c>
      <c r="D43" s="281"/>
      <c r="E43" s="281"/>
      <c r="F43" s="282"/>
      <c r="G43" s="3203"/>
    </row>
    <row r="44" spans="1:7" ht="13.5" customHeight="1">
      <c r="A44" s="949" t="s">
        <v>793</v>
      </c>
      <c r="B44" s="258" t="s">
        <v>2414</v>
      </c>
      <c r="C44" s="281">
        <f ca="1">ROUND(IF('数据-取费表'!B22&lt;=1,C40*F22*'数据-取费表'!B21/2,C40*(POWER((1+F22),'数据-取费表'!B21/2)-1)),4)</f>
        <v>1E-3</v>
      </c>
      <c r="D44" s="281"/>
      <c r="E44" s="281"/>
      <c r="F44" s="282"/>
      <c r="G44" s="3204"/>
    </row>
    <row r="45" spans="1:7" s="257" customFormat="1" ht="13.5" customHeight="1">
      <c r="A45" s="298" t="s">
        <v>2415</v>
      </c>
      <c r="B45" s="287" t="s">
        <v>2381</v>
      </c>
      <c r="C45" s="288">
        <f ca="1">C46</f>
        <v>135</v>
      </c>
      <c r="D45" s="278">
        <f ca="1">C47</f>
        <v>3.5999999999999999E-3</v>
      </c>
      <c r="E45" s="279" t="s">
        <v>2407</v>
      </c>
      <c r="F45" s="289"/>
      <c r="G45" s="290" t="s">
        <v>2416</v>
      </c>
    </row>
    <row r="46" spans="1:7" s="257" customFormat="1" ht="13.5" customHeight="1">
      <c r="A46" s="949" t="s">
        <v>791</v>
      </c>
      <c r="B46" s="291" t="s">
        <v>2417</v>
      </c>
      <c r="C46" s="292">
        <f ca="1">ROUND((C33+C39)*F27,0)</f>
        <v>135</v>
      </c>
      <c r="D46" s="306"/>
      <c r="E46" s="279"/>
      <c r="F46" s="289"/>
      <c r="G46" s="290"/>
    </row>
    <row r="47" spans="1:7" s="257" customFormat="1" ht="13.5" customHeight="1">
      <c r="A47" s="949" t="s">
        <v>792</v>
      </c>
      <c r="B47" s="291" t="s">
        <v>2418</v>
      </c>
      <c r="C47" s="281">
        <f ca="1">ROUND(C40*F27,4)</f>
        <v>3.5999999999999999E-3</v>
      </c>
      <c r="D47" s="306"/>
      <c r="E47" s="279"/>
      <c r="F47" s="289"/>
      <c r="G47" s="290"/>
    </row>
    <row r="48" spans="1:7" s="257" customFormat="1" ht="13.5" customHeight="1">
      <c r="A48" s="298" t="s">
        <v>2380</v>
      </c>
      <c r="B48" s="253" t="s">
        <v>2419</v>
      </c>
      <c r="C48" s="1726">
        <f>ROUND(F30/(1+'数据-取费表'!C42),4)</f>
        <v>5.33E-2</v>
      </c>
      <c r="D48" s="279" t="s">
        <v>2407</v>
      </c>
      <c r="E48" s="275"/>
      <c r="F48" s="280"/>
      <c r="G48" s="277" t="s">
        <v>2420</v>
      </c>
    </row>
    <row r="49" spans="1:7" ht="16.5" customHeight="1">
      <c r="A49" s="298" t="s">
        <v>2386</v>
      </c>
      <c r="B49" s="253" t="s">
        <v>2421</v>
      </c>
      <c r="C49" s="275">
        <f ca="1">ROUND((C33+C39+C41+C45)/(1-C40-D41-D45-C48),0)</f>
        <v>997</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997</v>
      </c>
      <c r="D51" s="275"/>
      <c r="E51" s="275"/>
      <c r="F51" s="307"/>
      <c r="G51" s="277" t="s">
        <v>2428</v>
      </c>
    </row>
    <row r="52" spans="1:7" s="251" customFormat="1" ht="16.5" thickBot="1">
      <c r="A52" s="308" t="s">
        <v>2429</v>
      </c>
      <c r="B52" s="309"/>
      <c r="C52" s="310">
        <f ca="1">C31+C51</f>
        <v>4368</v>
      </c>
      <c r="D52" s="309"/>
      <c r="E52" s="309"/>
      <c r="F52" s="309"/>
      <c r="G52" s="311"/>
    </row>
    <row r="55" spans="1:7" ht="15">
      <c r="B55" s="313" t="s">
        <v>2430</v>
      </c>
      <c r="C55" s="314"/>
    </row>
    <row r="56" spans="1:7">
      <c r="B56" s="316" t="s">
        <v>1514</v>
      </c>
      <c r="C56" s="318">
        <f ca="1">1-C57</f>
        <v>0.77200000000000002</v>
      </c>
    </row>
    <row r="57" spans="1:7">
      <c r="B57" s="316" t="s">
        <v>1515</v>
      </c>
      <c r="C57" s="317">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5"/>
      <c r="C1" s="2551" t="s">
        <v>2431</v>
      </c>
      <c r="D1" s="241"/>
      <c r="E1" s="241"/>
      <c r="F1" s="241"/>
      <c r="G1" s="1377">
        <f>MATCH(B1,'数据-取费表'!A6:A16,0)+5</f>
        <v>8</v>
      </c>
      <c r="H1" s="1280" t="str">
        <f>IF(ISERROR(FIND("住宅",B1)),"非住宅","住宅")</f>
        <v>非住宅</v>
      </c>
    </row>
    <row r="2" spans="1:8" s="243" customFormat="1" ht="18" customHeight="1">
      <c r="A2" s="244" t="s">
        <v>2330</v>
      </c>
      <c r="B2" s="245">
        <f ca="1">ROUND(IF(D2="——",C52/10000,C52/10000-E2),0)</f>
        <v>1218</v>
      </c>
      <c r="C2" s="242" t="s">
        <v>2331</v>
      </c>
      <c r="D2" s="2545" t="s">
        <v>70</v>
      </c>
      <c r="E2" s="1438" t="e">
        <f ca="1">SUMIF(INDIRECT("'"&amp;G2&amp;"'"&amp;"!A:A"),"承租人权益价值",INDIRECT("'"&amp;G2&amp;"'"&amp;"!c:c"))</f>
        <v>#REF!</v>
      </c>
      <c r="F2" s="2546" t="s">
        <v>2331</v>
      </c>
      <c r="G2" s="2547"/>
    </row>
    <row r="3" spans="1:8" s="243" customFormat="1" ht="18" customHeight="1" thickBot="1">
      <c r="A3" s="246" t="s">
        <v>2332</v>
      </c>
      <c r="B3" s="247">
        <f ca="1">ROUND(B2*10000/(IF(B1="",'数据-汇总表'!E3,INDIRECT("'数据-取费表'!k"&amp;$G$1))),0)</f>
        <v>3786</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932991</v>
      </c>
      <c r="D5" s="254" t="s">
        <v>2337</v>
      </c>
      <c r="E5" s="255" t="s">
        <v>2338</v>
      </c>
      <c r="F5" s="255" t="s">
        <v>2339</v>
      </c>
      <c r="G5" s="256"/>
    </row>
    <row r="6" spans="1:8" s="257" customFormat="1" ht="13.5" customHeight="1">
      <c r="A6" s="947" t="s">
        <v>2340</v>
      </c>
      <c r="B6" s="258" t="s">
        <v>2341</v>
      </c>
      <c r="C6" s="259"/>
      <c r="D6" s="260"/>
      <c r="E6" s="261"/>
      <c r="F6" s="261"/>
      <c r="G6" s="262"/>
    </row>
    <row r="7" spans="1:8" s="257" customFormat="1" ht="13.5" customHeight="1">
      <c r="A7" s="947" t="s">
        <v>2342</v>
      </c>
      <c r="B7" s="258" t="s">
        <v>2343</v>
      </c>
      <c r="C7" s="263">
        <f>ROUND(C6*F7,0)</f>
        <v>0</v>
      </c>
      <c r="D7" s="263"/>
      <c r="E7" s="261"/>
      <c r="F7" s="264">
        <f>'数据-取费表'!B48+'数据-取费表'!B49</f>
        <v>3.0499999999999999E-2</v>
      </c>
      <c r="G7" s="262"/>
    </row>
    <row r="8" spans="1:8" s="266" customFormat="1">
      <c r="A8" s="947" t="s">
        <v>2344</v>
      </c>
      <c r="B8" s="258" t="s">
        <v>2345</v>
      </c>
      <c r="C8" s="263">
        <f ca="1">IF(G8="已包含在土地购买价格中",0,C9+C10)</f>
        <v>932991</v>
      </c>
      <c r="D8" s="265"/>
      <c r="E8" s="263"/>
      <c r="F8" s="264"/>
      <c r="G8" s="2548"/>
    </row>
    <row r="9" spans="1:8" s="257" customFormat="1" ht="13.5" customHeight="1">
      <c r="A9" s="948" t="s">
        <v>800</v>
      </c>
      <c r="B9" s="267" t="s">
        <v>2346</v>
      </c>
      <c r="C9" s="268">
        <f ca="1">ROUND(D9*E9,0)</f>
        <v>624799</v>
      </c>
      <c r="D9" s="1030">
        <f ca="1">IF(B1="",'数据-汇总表'!E5,IF(INDIRECT("'数据-取费表'!c"&amp;$G$1)="住宅",INDIRECT("'数据-取费表'!k"&amp;$G$1),0))</f>
        <v>2154.4800000000009</v>
      </c>
      <c r="E9" s="268">
        <f>'数据-取费表'!B27</f>
        <v>290</v>
      </c>
      <c r="F9" s="264"/>
      <c r="G9" s="269"/>
    </row>
    <row r="10" spans="1:8" s="257" customFormat="1" ht="13.5" customHeight="1">
      <c r="A10" s="948" t="s">
        <v>801</v>
      </c>
      <c r="B10" s="267" t="s">
        <v>2348</v>
      </c>
      <c r="C10" s="268">
        <f ca="1">ROUND(D10*E10,0)</f>
        <v>308192</v>
      </c>
      <c r="D10" s="1030">
        <f ca="1">IF(B1="",'数据-汇总表'!E6,IF(INDIRECT("'数据-取费表'!c"&amp;$G$1)="住宅",INDIRECT("'数据-取费表'!s"&amp;$G$1),INDIRECT("'数据-取费表'!k"&amp;$G$1)+INDIRECT("'数据-取费表'!s"&amp;$G$1)))</f>
        <v>1062.73</v>
      </c>
      <c r="E10" s="268">
        <f>'数据-取费表'!B28</f>
        <v>290</v>
      </c>
      <c r="F10" s="264"/>
      <c r="G10" s="269"/>
    </row>
    <row r="11" spans="1:8" s="257" customFormat="1" ht="13.5" hidden="1" customHeight="1">
      <c r="A11" s="270" t="s">
        <v>7</v>
      </c>
      <c r="B11" s="258" t="s">
        <v>2349</v>
      </c>
      <c r="C11" s="254"/>
      <c r="D11" s="1032"/>
      <c r="E11" s="261"/>
      <c r="F11" s="261"/>
      <c r="G11" s="262"/>
    </row>
    <row r="12" spans="1:8" s="257" customFormat="1" ht="13.5" hidden="1" customHeight="1">
      <c r="A12" s="270" t="s">
        <v>8</v>
      </c>
      <c r="B12" s="258" t="s">
        <v>2432</v>
      </c>
      <c r="C12" s="254">
        <v>0</v>
      </c>
      <c r="D12" s="1032"/>
      <c r="E12" s="271"/>
      <c r="F12" s="264">
        <v>3.0499999999999999E-2</v>
      </c>
      <c r="G12" s="262"/>
    </row>
    <row r="13" spans="1:8" s="257" customFormat="1" ht="13.5" hidden="1" customHeight="1">
      <c r="A13" s="270" t="s">
        <v>9</v>
      </c>
      <c r="B13" s="258" t="s">
        <v>2433</v>
      </c>
      <c r="C13" s="254"/>
      <c r="D13" s="1032"/>
      <c r="E13" s="261"/>
      <c r="F13" s="261"/>
      <c r="G13" s="262"/>
    </row>
    <row r="14" spans="1:8" s="257" customFormat="1" ht="13.5" hidden="1" customHeight="1">
      <c r="A14" s="270" t="s">
        <v>10</v>
      </c>
      <c r="B14" s="258" t="s">
        <v>2345</v>
      </c>
      <c r="C14" s="254"/>
      <c r="D14" s="1032"/>
      <c r="E14" s="261"/>
      <c r="F14" s="261"/>
      <c r="G14" s="262" t="s">
        <v>2434</v>
      </c>
    </row>
    <row r="15" spans="1:8" s="257" customFormat="1" ht="13.5" hidden="1" customHeight="1">
      <c r="A15" s="270" t="s">
        <v>11</v>
      </c>
      <c r="B15" s="258" t="s">
        <v>2435</v>
      </c>
      <c r="C15" s="263"/>
      <c r="D15" s="1032"/>
      <c r="E15" s="261"/>
      <c r="F15" s="261"/>
      <c r="G15" s="262" t="s">
        <v>2436</v>
      </c>
    </row>
    <row r="16" spans="1:8" s="257" customFormat="1" ht="13.5" hidden="1" customHeight="1">
      <c r="A16" s="270" t="s">
        <v>12</v>
      </c>
      <c r="B16" s="258" t="s">
        <v>2345</v>
      </c>
      <c r="C16" s="263"/>
      <c r="D16" s="1032"/>
      <c r="E16" s="261"/>
      <c r="F16" s="261"/>
      <c r="G16" s="262"/>
    </row>
    <row r="17" spans="1:7" s="257" customFormat="1" ht="13.5" hidden="1" customHeight="1">
      <c r="A17" s="270" t="s">
        <v>13</v>
      </c>
      <c r="B17" s="258" t="s">
        <v>2437</v>
      </c>
      <c r="C17" s="272"/>
      <c r="D17" s="1033"/>
      <c r="E17" s="272"/>
      <c r="F17" s="272"/>
      <c r="G17" s="262" t="s">
        <v>2436</v>
      </c>
    </row>
    <row r="18" spans="1:7" s="257" customFormat="1" ht="13.5" hidden="1" customHeight="1">
      <c r="A18" s="270" t="s">
        <v>14</v>
      </c>
      <c r="B18" s="258" t="s">
        <v>2438</v>
      </c>
      <c r="C18" s="263">
        <v>0</v>
      </c>
      <c r="D18" s="1032"/>
      <c r="E18" s="261"/>
      <c r="F18" s="264">
        <v>3.0499999999999999E-2</v>
      </c>
      <c r="G18" s="262" t="s">
        <v>2439</v>
      </c>
    </row>
    <row r="19" spans="1:7" s="266" customFormat="1" ht="13.5" customHeight="1">
      <c r="A19" s="298" t="s">
        <v>2440</v>
      </c>
      <c r="B19" s="253" t="s">
        <v>2441</v>
      </c>
      <c r="C19" s="254">
        <f ca="1">IF(G19="已包含在土地取得成本中","0",ROUND(D19*E19,0))</f>
        <v>643442</v>
      </c>
      <c r="D19" s="1034">
        <f ca="1">D9+D10</f>
        <v>3217.2100000000009</v>
      </c>
      <c r="E19" s="254">
        <f>'数据-取费表'!B31</f>
        <v>200</v>
      </c>
      <c r="F19" s="274"/>
      <c r="G19" s="2548"/>
    </row>
    <row r="20" spans="1:7" s="257" customFormat="1" ht="13.5" customHeight="1">
      <c r="A20" s="298" t="s">
        <v>2442</v>
      </c>
      <c r="B20" s="253" t="s">
        <v>2443</v>
      </c>
      <c r="C20" s="275">
        <f ca="1">ROUND((C5+C19)*F20,0)</f>
        <v>31529</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78">
        <f ca="1">ROUND(SUM(C23:C25),0)</f>
        <v>154816</v>
      </c>
      <c r="D22" s="278">
        <f ca="1">C26</f>
        <v>1E-3</v>
      </c>
      <c r="E22" s="279" t="s">
        <v>2447</v>
      </c>
      <c r="F22" s="280">
        <f ca="1">'数据-取费表'!B40</f>
        <v>4.7500000000000001E-2</v>
      </c>
      <c r="G22" s="277" t="str">
        <f>IF('数据-取费表'!B22&lt;=1,"单利计息","复利计息")</f>
        <v>复利计息</v>
      </c>
    </row>
    <row r="23" spans="1:7" s="257" customFormat="1" ht="13.5" customHeight="1">
      <c r="A23" s="949" t="s">
        <v>2340</v>
      </c>
      <c r="B23" s="258" t="s">
        <v>2451</v>
      </c>
      <c r="C23" s="1379">
        <f ca="1">ROUND(IF('数据-取费表'!B22&lt;=1,C5*F22*'数据-取费表'!B22,C5*(POWER((1+F22),'数据-取费表'!B22)-1)),0)</f>
        <v>90739</v>
      </c>
      <c r="D23" s="281"/>
      <c r="E23" s="281"/>
      <c r="F23" s="282"/>
      <c r="G23" s="283" t="s">
        <v>2452</v>
      </c>
    </row>
    <row r="24" spans="1:7" s="257" customFormat="1" ht="13.5" customHeight="1">
      <c r="A24" s="949" t="s">
        <v>2342</v>
      </c>
      <c r="B24" s="258" t="s">
        <v>2453</v>
      </c>
      <c r="C24" s="1379">
        <f ca="1">ROUND(IF('数据-取费表'!B22&lt;=1,C19*F22*('数据-取费表'!B19/2+'数据-取费表'!B20),C19*(POWER((1+F22),('数据-取费表'!B19/2+'数据-取费表'!B20))-1)),0)</f>
        <v>62579</v>
      </c>
      <c r="D24" s="281"/>
      <c r="E24" s="281"/>
      <c r="F24" s="282"/>
      <c r="G24" s="283" t="s">
        <v>2454</v>
      </c>
    </row>
    <row r="25" spans="1:7" s="257" customFormat="1" ht="24">
      <c r="A25" s="949" t="s">
        <v>2344</v>
      </c>
      <c r="B25" s="258" t="s">
        <v>2455</v>
      </c>
      <c r="C25" s="1379">
        <f ca="1">ROUND(IF('数据-取费表'!B22&lt;=1,C20*F22*'数据-取费表'!B22/2,C20*(POWER((1+F22),'数据-取费表'!B22/2)-1)),0)</f>
        <v>1498</v>
      </c>
      <c r="D25" s="281"/>
      <c r="E25" s="284"/>
      <c r="F25" s="282"/>
      <c r="G25" s="285" t="s">
        <v>2456</v>
      </c>
    </row>
    <row r="26" spans="1:7" s="257" customFormat="1">
      <c r="A26" s="949"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289433</v>
      </c>
      <c r="D27" s="278">
        <f ca="1">C29</f>
        <v>3.5999999999999999E-3</v>
      </c>
      <c r="E27" s="279" t="s">
        <v>2382</v>
      </c>
      <c r="F27" s="289">
        <f ca="1">IF(B1="",'数据-取费表'!Q16,INDIRECT("'数据-取费表'!q"&amp;$G$1))</f>
        <v>0.18</v>
      </c>
      <c r="G27" s="290" t="s">
        <v>2383</v>
      </c>
    </row>
    <row r="28" spans="1:7" s="257" customFormat="1" ht="13.5" customHeight="1">
      <c r="A28" s="949" t="s">
        <v>791</v>
      </c>
      <c r="B28" s="291" t="s">
        <v>2384</v>
      </c>
      <c r="C28" s="292">
        <f ca="1">ROUND((C5+C19+C20)*F27,0)</f>
        <v>289433</v>
      </c>
      <c r="D28" s="278"/>
      <c r="E28" s="279"/>
      <c r="F28" s="289"/>
      <c r="G28" s="290"/>
    </row>
    <row r="29" spans="1:7" s="257" customFormat="1" ht="13.5" customHeight="1">
      <c r="A29" s="949" t="s">
        <v>792</v>
      </c>
      <c r="B29" s="291" t="s">
        <v>2385</v>
      </c>
      <c r="C29" s="281">
        <f ca="1">ROUND(C21*F27,4)</f>
        <v>3.5999999999999999E-3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2225584</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7333138</v>
      </c>
      <c r="D33" s="275"/>
      <c r="E33" s="255"/>
      <c r="F33" s="284"/>
      <c r="G33" s="277"/>
    </row>
    <row r="34" spans="1:7" s="301" customFormat="1" ht="13.5" customHeight="1">
      <c r="A34" s="949" t="s">
        <v>791</v>
      </c>
      <c r="B34" s="258" t="s">
        <v>2393</v>
      </c>
      <c r="C34" s="263">
        <f ca="1">ROUND(IF(B1="",SUMPRODUCT('数据-取费表'!K6:K14,'数据-取费表'!L6:L14),INDIRECT("'数据-取费表'!l"&amp;$G$1)*INDIRECT("'数据-取费表'!k"&amp;$G$1)+'数据-取费表'!L14*INDIRECT("'数据-取费表'!S"&amp;$G$1)),0)</f>
        <v>6216070</v>
      </c>
      <c r="D34" s="260"/>
      <c r="E34" s="263"/>
      <c r="F34" s="300"/>
      <c r="G34" s="262"/>
    </row>
    <row r="35" spans="1:7" ht="13.5" customHeight="1">
      <c r="A35" s="949" t="s">
        <v>796</v>
      </c>
      <c r="B35" s="258" t="s">
        <v>2395</v>
      </c>
      <c r="C35" s="263">
        <f ca="1">ROUND(C34*F35,0)</f>
        <v>186482</v>
      </c>
      <c r="D35" s="263"/>
      <c r="E35" s="263"/>
      <c r="F35" s="302">
        <f>'数据-取费表'!B33</f>
        <v>0.03</v>
      </c>
      <c r="G35" s="262" t="s">
        <v>2396</v>
      </c>
    </row>
    <row r="36" spans="1:7" ht="24">
      <c r="A36" s="949" t="s">
        <v>797</v>
      </c>
      <c r="B36" s="258" t="s">
        <v>2397</v>
      </c>
      <c r="C36" s="263">
        <f ca="1">ROUND(IF(B1="",SUM('数据-取费表'!AP6:AP13)*F36,IF(INDIRECT("'数据-取费表'!c"&amp;$G$1)="住宅",INDIRECT("'数据-取费表'!k"&amp;$G$1)*INDIRECT("'数据-取费表'!l"&amp;$G$1)*F36,0)),0)</f>
        <v>193903</v>
      </c>
      <c r="D36" s="263"/>
      <c r="E36" s="263"/>
      <c r="F36" s="302">
        <f>'数据-取费表'!B34</f>
        <v>0.05</v>
      </c>
      <c r="G36" s="303" t="s">
        <v>2398</v>
      </c>
    </row>
    <row r="37" spans="1:7" s="301" customFormat="1" ht="13.5" customHeight="1">
      <c r="A37" s="949" t="s">
        <v>798</v>
      </c>
      <c r="B37" s="258" t="s">
        <v>2399</v>
      </c>
      <c r="C37" s="292">
        <f ca="1">ROUND(E37*D37,0)</f>
        <v>643442</v>
      </c>
      <c r="D37" s="260">
        <f ca="1">D19</f>
        <v>3217.2100000000009</v>
      </c>
      <c r="E37" s="292">
        <f>'数据-取费表'!B35</f>
        <v>200</v>
      </c>
      <c r="F37" s="302"/>
      <c r="G37" s="304"/>
    </row>
    <row r="38" spans="1:7" ht="13.5" customHeight="1">
      <c r="A38" s="949" t="s">
        <v>799</v>
      </c>
      <c r="B38" s="258" t="s">
        <v>2401</v>
      </c>
      <c r="C38" s="263">
        <f ca="1">ROUND(C34*F38,0)</f>
        <v>93241</v>
      </c>
      <c r="D38" s="263"/>
      <c r="E38" s="263"/>
      <c r="F38" s="302">
        <f>'数据-取费表'!B36</f>
        <v>1.4999999999999999E-2</v>
      </c>
      <c r="G38" s="262" t="s">
        <v>2396</v>
      </c>
    </row>
    <row r="39" spans="1:7" s="257" customFormat="1" ht="13.5" customHeight="1">
      <c r="A39" s="298" t="s">
        <v>2402</v>
      </c>
      <c r="B39" s="253" t="s">
        <v>2403</v>
      </c>
      <c r="C39" s="275">
        <f ca="1">ROUND(C33*F20,0)</f>
        <v>146663</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355290</v>
      </c>
      <c r="D41" s="278">
        <f ca="1">C44</f>
        <v>1E-3</v>
      </c>
      <c r="E41" s="279" t="s">
        <v>2407</v>
      </c>
      <c r="F41" s="280"/>
      <c r="G41" s="277" t="str">
        <f>IF('数据-取费表'!B22&lt;=1,"单利计息","复利计息")</f>
        <v>复利计息</v>
      </c>
    </row>
    <row r="42" spans="1:7" ht="13.5" customHeight="1">
      <c r="A42" s="949" t="s">
        <v>791</v>
      </c>
      <c r="B42" s="258" t="s">
        <v>2411</v>
      </c>
      <c r="C42" s="281">
        <f ca="1">ROUND(IF('数据-取费表'!B22&lt;=1,C33*F22*'数据-取费表'!B20/2,C33*(POWER((1+F22),'数据-取费表'!B20/2)-1)),0)</f>
        <v>348324</v>
      </c>
      <c r="D42" s="281"/>
      <c r="E42" s="281"/>
      <c r="F42" s="282"/>
      <c r="G42" s="3202" t="s">
        <v>2459</v>
      </c>
    </row>
    <row r="43" spans="1:7" ht="13.5" customHeight="1">
      <c r="A43" s="949" t="s">
        <v>792</v>
      </c>
      <c r="B43" s="258" t="s">
        <v>2413</v>
      </c>
      <c r="C43" s="281">
        <f ca="1">ROUND(IF('数据-取费表'!B22&lt;=1,C39*F22*'数据-取费表'!B20/2,C39*(POWER((1+F22),'数据-取费表'!B20/2)-1)),0)</f>
        <v>6966</v>
      </c>
      <c r="D43" s="281"/>
      <c r="E43" s="281"/>
      <c r="F43" s="282"/>
      <c r="G43" s="3203"/>
    </row>
    <row r="44" spans="1:7" ht="13.5" customHeight="1">
      <c r="A44" s="949" t="s">
        <v>793</v>
      </c>
      <c r="B44" s="258" t="s">
        <v>2414</v>
      </c>
      <c r="C44" s="281">
        <f ca="1">ROUND(IF('数据-取费表'!B22&lt;=1,C40*F22*'数据-取费表'!B20/2,C40*(POWER((1+F22),'数据-取费表'!B20/2)-1)),4)</f>
        <v>1E-3</v>
      </c>
      <c r="D44" s="281"/>
      <c r="E44" s="281"/>
      <c r="F44" s="282"/>
      <c r="G44" s="3204"/>
    </row>
    <row r="45" spans="1:7" s="257" customFormat="1" ht="13.5" customHeight="1">
      <c r="A45" s="298" t="s">
        <v>2415</v>
      </c>
      <c r="B45" s="287" t="s">
        <v>2381</v>
      </c>
      <c r="C45" s="288">
        <f ca="1">C46</f>
        <v>1346364</v>
      </c>
      <c r="D45" s="278">
        <f ca="1">C47</f>
        <v>3.5999999999999999E-3</v>
      </c>
      <c r="E45" s="279" t="s">
        <v>2407</v>
      </c>
      <c r="F45" s="289"/>
      <c r="G45" s="290" t="s">
        <v>2416</v>
      </c>
    </row>
    <row r="46" spans="1:7" s="257" customFormat="1" ht="13.5" customHeight="1">
      <c r="A46" s="949" t="s">
        <v>791</v>
      </c>
      <c r="B46" s="291" t="s">
        <v>2417</v>
      </c>
      <c r="C46" s="292">
        <f ca="1">ROUND((C33+C39)*F27,0)</f>
        <v>1346364</v>
      </c>
      <c r="D46" s="306"/>
      <c r="E46" s="279"/>
      <c r="F46" s="289"/>
      <c r="G46" s="290"/>
    </row>
    <row r="47" spans="1:7" s="257" customFormat="1" ht="13.5" customHeight="1">
      <c r="A47" s="949" t="s">
        <v>792</v>
      </c>
      <c r="B47" s="291" t="s">
        <v>2418</v>
      </c>
      <c r="C47" s="281">
        <f ca="1">ROUND(C40*F27,4)</f>
        <v>3.5999999999999999E-3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9957114</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9957114</v>
      </c>
      <c r="D51" s="275"/>
      <c r="E51" s="275"/>
      <c r="F51" s="307"/>
      <c r="G51" s="277" t="s">
        <v>2428</v>
      </c>
    </row>
    <row r="52" spans="1:7" s="251" customFormat="1" ht="16.5" thickBot="1">
      <c r="A52" s="308" t="s">
        <v>2429</v>
      </c>
      <c r="B52" s="309"/>
      <c r="C52" s="310">
        <f ca="1">C31+C51</f>
        <v>12182698</v>
      </c>
      <c r="D52" s="309"/>
      <c r="E52" s="309"/>
      <c r="F52" s="309"/>
      <c r="G52" s="311"/>
    </row>
    <row r="55" spans="1:7" ht="15">
      <c r="B55" s="313" t="s">
        <v>2430</v>
      </c>
      <c r="C55" s="314"/>
    </row>
    <row r="56" spans="1:7">
      <c r="B56" s="316" t="s">
        <v>1514</v>
      </c>
      <c r="C56" s="318">
        <f ca="1">1-C57</f>
        <v>0.18300000000000005</v>
      </c>
    </row>
    <row r="57" spans="1:7">
      <c r="B57" s="316" t="s">
        <v>1515</v>
      </c>
      <c r="C57" s="317">
        <f ca="1">ROUND(C51/C52,3)</f>
        <v>0.81699999999999995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 zoomScale="80" zoomScaleNormal="80" workbookViewId="0">
      <selection activeCell="J30" sqref="J3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69">
        <f>F66</f>
        <v>2227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2332</v>
      </c>
      <c r="B3" s="607">
        <f>ROUND(IF(D3="",B2*10000/'数据-汇总表'!E3,B2*10000/D3),0)</f>
        <v>6922</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23" t="s">
        <v>2646</v>
      </c>
      <c r="D4" s="3224"/>
      <c r="E4" s="3225" t="s">
        <v>2647</v>
      </c>
      <c r="F4" s="3226"/>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06" t="s">
        <v>2648</v>
      </c>
      <c r="AC4" s="3205" t="s">
        <v>2649</v>
      </c>
    </row>
    <row r="5" spans="1:30" ht="15">
      <c r="A5" s="403"/>
      <c r="B5" s="404"/>
      <c r="C5" s="3216" t="s">
        <v>2542</v>
      </c>
      <c r="D5" s="3217"/>
      <c r="E5" s="3214" t="str">
        <f>土地案例!A2</f>
        <v>南岸区茶园组团B分区B41-1/03、B43-3/03、B42-2/03、B43-2/03、B43-1/03号宗地</v>
      </c>
      <c r="F5" s="3215"/>
      <c r="G5" s="3216" t="str">
        <f>土地案例!A3</f>
        <v>南岸区南坪组团D分区D10-3-2/02号宗地</v>
      </c>
      <c r="H5" s="3217"/>
      <c r="I5" s="3216" t="str">
        <f>土地案例!A4</f>
        <v>南岸区南坪组团D分区D13-10-1/03号宗地</v>
      </c>
      <c r="J5" s="3217"/>
      <c r="K5" s="608"/>
      <c r="L5" s="1128"/>
      <c r="M5" s="1129"/>
      <c r="N5" s="1129"/>
      <c r="O5" s="1129"/>
      <c r="P5" s="3229"/>
      <c r="Q5" s="3230"/>
      <c r="R5" s="3212"/>
      <c r="S5" s="3213"/>
      <c r="T5" s="3212"/>
      <c r="U5" s="3213"/>
      <c r="V5" s="3235"/>
      <c r="W5" s="3235"/>
      <c r="X5" s="1811"/>
      <c r="Y5" s="3212"/>
      <c r="Z5" s="3213"/>
      <c r="AA5" s="3206"/>
      <c r="AB5" s="3206"/>
      <c r="AC5" s="3206"/>
    </row>
    <row r="6" spans="1:30" ht="15.75" thickBot="1">
      <c r="A6" s="405"/>
      <c r="B6" s="406"/>
      <c r="C6" s="3218" t="s">
        <v>2546</v>
      </c>
      <c r="D6" s="3219"/>
      <c r="E6" s="3220" t="s">
        <v>2546</v>
      </c>
      <c r="F6" s="3221"/>
      <c r="G6" s="3218" t="s">
        <v>2546</v>
      </c>
      <c r="H6" s="3219"/>
      <c r="I6" s="3218" t="s">
        <v>2546</v>
      </c>
      <c r="J6" s="3219"/>
      <c r="K6" s="608" t="s">
        <v>2547</v>
      </c>
      <c r="L6" s="1128"/>
      <c r="M6" s="1129"/>
      <c r="N6" s="1129"/>
      <c r="O6" s="1129"/>
      <c r="P6" s="3231"/>
      <c r="Q6" s="3232"/>
      <c r="R6" s="3212"/>
      <c r="S6" s="3213"/>
      <c r="T6" s="3233"/>
      <c r="U6" s="3234"/>
      <c r="V6" s="3235"/>
      <c r="W6" s="3235"/>
      <c r="X6" s="1811"/>
      <c r="Y6" s="3233"/>
      <c r="Z6" s="3234"/>
      <c r="AA6" s="3207"/>
      <c r="AB6" s="3207"/>
      <c r="AC6" s="3207"/>
    </row>
    <row r="7" spans="1:30" s="116" customFormat="1" ht="15.75" thickBot="1">
      <c r="A7" s="407" t="s">
        <v>2548</v>
      </c>
      <c r="B7" s="408"/>
      <c r="C7" s="409">
        <f>'数据-取费表'!B2</f>
        <v>43185</v>
      </c>
      <c r="D7" s="410">
        <v>100</v>
      </c>
      <c r="E7" s="411" t="str">
        <f>土地案例!M2</f>
        <v>2017-09-28</v>
      </c>
      <c r="F7" s="412">
        <f>SUMIF(70:70,YEAR(E7)&amp;"-"&amp;INT((MONTH(E7)+2)/3),71:71)</f>
        <v>99</v>
      </c>
      <c r="G7" s="2692" t="str">
        <f>土地案例!M3</f>
        <v>2017-06-09</v>
      </c>
      <c r="H7" s="410">
        <f>SUMIF(70:70,YEAR(G7)&amp;"-"&amp;INT((MONTH(G7)+2)/3),71:71)</f>
        <v>98.5</v>
      </c>
      <c r="I7" s="2692" t="str">
        <f>土地案例!M4</f>
        <v>2016-12-23</v>
      </c>
      <c r="J7" s="410">
        <f>SUMIF(70:70,YEAR(I7)&amp;"-"&amp;INT((MONTH(I7)+2)/3),71:71)</f>
        <v>97.5</v>
      </c>
      <c r="K7" s="609"/>
      <c r="L7" s="1130"/>
      <c r="M7" s="1131"/>
      <c r="N7" s="1131"/>
      <c r="O7" s="1131"/>
      <c r="P7" s="3208" t="s">
        <v>2549</v>
      </c>
      <c r="Q7" s="3236"/>
      <c r="R7" s="768" t="s">
        <v>17</v>
      </c>
      <c r="S7" s="769">
        <f t="shared" ref="S7:S15" si="0">F7</f>
        <v>99</v>
      </c>
      <c r="T7" s="768" t="s">
        <v>17</v>
      </c>
      <c r="U7" s="769">
        <f t="shared" ref="U7:U15" si="1">H7</f>
        <v>98.5</v>
      </c>
      <c r="V7" s="768" t="s">
        <v>17</v>
      </c>
      <c r="W7" s="769">
        <f t="shared" ref="W7:W15" si="2">J7</f>
        <v>97.5</v>
      </c>
      <c r="X7" s="770"/>
      <c r="Y7" s="3208" t="s">
        <v>2549</v>
      </c>
      <c r="Z7" s="3209"/>
      <c r="AA7" s="771">
        <f>D7/F7</f>
        <v>1.0101010101010102</v>
      </c>
      <c r="AB7" s="771">
        <f>D7/H7</f>
        <v>1.015228426395939</v>
      </c>
      <c r="AC7" s="771">
        <f>D7/J7</f>
        <v>1.0256410256410255</v>
      </c>
    </row>
    <row r="8" spans="1:30" s="116" customFormat="1" ht="15.75" thickBot="1">
      <c r="A8" s="407" t="s">
        <v>2550</v>
      </c>
      <c r="B8" s="408"/>
      <c r="C8" s="413" t="s">
        <v>2551</v>
      </c>
      <c r="D8" s="410">
        <v>100</v>
      </c>
      <c r="E8" s="413" t="s">
        <v>2551</v>
      </c>
      <c r="F8" s="412">
        <f>SUMIF(73:73,E8,74:74)-SUMIF(73:73,C8,74:74)+100</f>
        <v>100</v>
      </c>
      <c r="G8" s="413" t="s">
        <v>2551</v>
      </c>
      <c r="H8" s="410">
        <f>SUMIF(73:73,G8,74:74)-SUMIF(73:73,C8,74:74)+100</f>
        <v>100</v>
      </c>
      <c r="I8" s="413" t="s">
        <v>2551</v>
      </c>
      <c r="J8" s="410">
        <f>SUMIF(73:73,I8,74:74)-SUMIF(73:73,C8,74:74)+100</f>
        <v>100</v>
      </c>
      <c r="K8" s="609"/>
      <c r="L8" s="1130"/>
      <c r="M8" s="1131"/>
      <c r="N8" s="1131"/>
      <c r="O8" s="1131"/>
      <c r="P8" s="3208" t="s">
        <v>2552</v>
      </c>
      <c r="Q8" s="3209"/>
      <c r="R8" s="768" t="s">
        <v>17</v>
      </c>
      <c r="S8" s="769">
        <f t="shared" si="0"/>
        <v>100</v>
      </c>
      <c r="T8" s="768" t="s">
        <v>17</v>
      </c>
      <c r="U8" s="769">
        <f t="shared" si="1"/>
        <v>100</v>
      </c>
      <c r="V8" s="768" t="s">
        <v>17</v>
      </c>
      <c r="W8" s="769">
        <f t="shared" si="2"/>
        <v>100</v>
      </c>
      <c r="X8" s="770"/>
      <c r="Y8" s="3208" t="s">
        <v>2552</v>
      </c>
      <c r="Z8" s="3209"/>
      <c r="AA8" s="771">
        <f t="shared" ref="AA8:AA45" si="3">D8/F8</f>
        <v>1</v>
      </c>
      <c r="AB8" s="771">
        <f t="shared" ref="AB8:AB45" si="4">D8/H8</f>
        <v>1</v>
      </c>
      <c r="AC8" s="771">
        <f t="shared" ref="AC8:AC45" si="5">D8/J8</f>
        <v>1</v>
      </c>
    </row>
    <row r="9" spans="1:30" s="116" customFormat="1">
      <c r="A9" s="414" t="s">
        <v>2553</v>
      </c>
      <c r="B9" s="70" t="s">
        <v>2554</v>
      </c>
      <c r="C9" s="2695" t="s">
        <v>3101</v>
      </c>
      <c r="D9" s="134">
        <v>100</v>
      </c>
      <c r="E9" s="2695" t="s">
        <v>3101</v>
      </c>
      <c r="F9" s="134">
        <f>SUMIF(75:75,E9,76:76)-SUMIF(75:75,C9,76:76)+100</f>
        <v>100</v>
      </c>
      <c r="G9" s="2695" t="s">
        <v>3101</v>
      </c>
      <c r="H9" s="134">
        <f>SUMIF(75:75,G9,76:76)-SUMIF(75:75,C9,76:76)+100</f>
        <v>100</v>
      </c>
      <c r="I9" s="2695" t="s">
        <v>3101</v>
      </c>
      <c r="J9" s="134">
        <f>SUMIF(75:75,I9,76:76)-SUMIF(75:75,C9,76:76)+100</f>
        <v>100</v>
      </c>
      <c r="K9" s="609"/>
      <c r="L9" s="1130"/>
      <c r="M9" s="1131"/>
      <c r="N9" s="1131"/>
      <c r="O9" s="1132"/>
      <c r="P9" s="3222"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771">
        <f t="shared" si="5"/>
        <v>1</v>
      </c>
    </row>
    <row r="10" spans="1:30" s="425" customFormat="1" ht="27">
      <c r="A10" s="419"/>
      <c r="B10" s="420" t="s">
        <v>2557</v>
      </c>
      <c r="C10" s="430"/>
      <c r="D10" s="135">
        <v>100</v>
      </c>
      <c r="E10" s="463"/>
      <c r="F10" s="135">
        <f>ROUND(100/'数据-取费表'!G16,0)</f>
        <v>102</v>
      </c>
      <c r="G10" s="461"/>
      <c r="H10" s="135">
        <f>ROUND(100/'数据-取费表'!G16,0)</f>
        <v>102</v>
      </c>
      <c r="I10" s="461"/>
      <c r="J10" s="135">
        <f>ROUND(100/'数据-取费表'!G16,0)</f>
        <v>102</v>
      </c>
      <c r="K10" s="670"/>
      <c r="L10" s="1133"/>
      <c r="M10" s="1134"/>
      <c r="N10" s="1134"/>
      <c r="O10" s="1135"/>
      <c r="P10" s="3222"/>
      <c r="Q10" s="1793" t="str">
        <f t="shared" si="6"/>
        <v>土地使用年限（年）</v>
      </c>
      <c r="R10" s="768" t="s">
        <v>17</v>
      </c>
      <c r="S10" s="769">
        <f t="shared" si="0"/>
        <v>102</v>
      </c>
      <c r="T10" s="768" t="s">
        <v>17</v>
      </c>
      <c r="U10" s="769">
        <f t="shared" si="1"/>
        <v>102</v>
      </c>
      <c r="V10" s="768" t="s">
        <v>17</v>
      </c>
      <c r="W10" s="769">
        <f t="shared" si="2"/>
        <v>102</v>
      </c>
      <c r="X10" s="770"/>
      <c r="Y10" s="3077"/>
      <c r="Z10" s="54" t="str">
        <f t="shared" si="7"/>
        <v>土地使用年限（年）</v>
      </c>
      <c r="AA10" s="771">
        <f t="shared" si="3"/>
        <v>0.98039215686274506</v>
      </c>
      <c r="AB10" s="771">
        <f t="shared" si="4"/>
        <v>0.98039215686274506</v>
      </c>
      <c r="AC10" s="771">
        <f t="shared" si="5"/>
        <v>0.98039215686274506</v>
      </c>
    </row>
    <row r="11" spans="1:30" ht="15">
      <c r="A11" s="426"/>
      <c r="B11" s="420" t="s">
        <v>2558</v>
      </c>
      <c r="C11" s="3001">
        <f>'数据-汇总表'!I7</f>
        <v>3.57</v>
      </c>
      <c r="D11" s="135">
        <v>100</v>
      </c>
      <c r="E11" s="427">
        <v>1.4</v>
      </c>
      <c r="F11" s="135">
        <f>LOOKUP(E11,80:80,81:81)-LOOKUP(C11,80:80,81:81)+100</f>
        <v>106</v>
      </c>
      <c r="G11" s="428">
        <v>7.9</v>
      </c>
      <c r="H11" s="135">
        <f>LOOKUP(G11,80:80,81:81)-LOOKUP(C11,80:80,81:81)+100</f>
        <v>88</v>
      </c>
      <c r="I11" s="427">
        <v>3.5</v>
      </c>
      <c r="J11" s="135">
        <f>LOOKUP(I11,80:80,81:81)-LOOKUP(C11,80:80,81:81)+100</f>
        <v>100</v>
      </c>
      <c r="K11" s="3002">
        <v>3</v>
      </c>
      <c r="L11" s="1136"/>
      <c r="M11" s="1129"/>
      <c r="N11" s="1129"/>
      <c r="O11" s="1137"/>
      <c r="P11" s="3222"/>
      <c r="Q11" s="1793" t="str">
        <f t="shared" si="6"/>
        <v>容积率</v>
      </c>
      <c r="R11" s="768" t="s">
        <v>17</v>
      </c>
      <c r="S11" s="769">
        <f t="shared" si="0"/>
        <v>106</v>
      </c>
      <c r="T11" s="768" t="s">
        <v>17</v>
      </c>
      <c r="U11" s="769">
        <f t="shared" si="1"/>
        <v>88</v>
      </c>
      <c r="V11" s="768" t="s">
        <v>17</v>
      </c>
      <c r="W11" s="769">
        <f t="shared" si="2"/>
        <v>100</v>
      </c>
      <c r="X11" s="770"/>
      <c r="Y11" s="3077"/>
      <c r="Z11" s="54" t="str">
        <f t="shared" si="7"/>
        <v>容积率</v>
      </c>
      <c r="AA11" s="771">
        <f t="shared" si="3"/>
        <v>0.94339622641509435</v>
      </c>
      <c r="AB11" s="771">
        <f t="shared" si="4"/>
        <v>1.1363636363636365</v>
      </c>
      <c r="AC11" s="771">
        <f t="shared" si="5"/>
        <v>1</v>
      </c>
    </row>
    <row r="12" spans="1:30" s="116" customFormat="1" ht="15.75" thickBot="1">
      <c r="A12" s="429"/>
      <c r="B12" s="2966" t="s">
        <v>3151</v>
      </c>
      <c r="C12" s="2967" t="s">
        <v>3154</v>
      </c>
      <c r="D12" s="431">
        <v>100</v>
      </c>
      <c r="E12" s="2968" t="s">
        <v>3152</v>
      </c>
      <c r="F12" s="135">
        <f>SUMIF(82:82,E12,83:83)-SUMIF(82:82,C12,83:83)+100</f>
        <v>100</v>
      </c>
      <c r="G12" s="2969" t="s">
        <v>3152</v>
      </c>
      <c r="H12" s="135">
        <f>SUMIF(82:82,G12,83:83)-SUMIF(82:82,C12,83:83)+100</f>
        <v>100</v>
      </c>
      <c r="I12" s="2968" t="s">
        <v>3152</v>
      </c>
      <c r="J12" s="135">
        <f>SUMIF(82:82,I12,83:83)-SUMIF(82:82,C12,83:83)+100</f>
        <v>100</v>
      </c>
      <c r="K12" s="670"/>
      <c r="L12" s="1130"/>
      <c r="M12" s="1131"/>
      <c r="N12" s="1131"/>
      <c r="O12" s="1132"/>
      <c r="P12" s="3222"/>
      <c r="Q12" s="1793" t="str">
        <f t="shared" si="6"/>
        <v>自持</v>
      </c>
      <c r="R12" s="768" t="s">
        <v>17</v>
      </c>
      <c r="S12" s="769">
        <f t="shared" si="0"/>
        <v>100</v>
      </c>
      <c r="T12" s="768" t="s">
        <v>17</v>
      </c>
      <c r="U12" s="769">
        <f t="shared" si="1"/>
        <v>100</v>
      </c>
      <c r="V12" s="768" t="s">
        <v>17</v>
      </c>
      <c r="W12" s="769">
        <f t="shared" si="2"/>
        <v>100</v>
      </c>
      <c r="X12" s="770"/>
      <c r="Y12" s="3077"/>
      <c r="Z12" s="54" t="str">
        <f t="shared" si="7"/>
        <v>自持</v>
      </c>
      <c r="AA12" s="771">
        <f>D12/F12</f>
        <v>1</v>
      </c>
      <c r="AB12" s="771">
        <f>D12/H12</f>
        <v>1</v>
      </c>
      <c r="AC12" s="771">
        <f>D12/J12</f>
        <v>1</v>
      </c>
    </row>
    <row r="13" spans="1:30" ht="15" hidden="1">
      <c r="A13" s="426"/>
      <c r="B13" s="2597">
        <v>111</v>
      </c>
      <c r="C13" s="432"/>
      <c r="D13" s="433">
        <v>100</v>
      </c>
      <c r="E13" s="547"/>
      <c r="F13" s="135">
        <f>SUMIF(84:84,E13,85:85)-SUMIF(84:84,C13,85:85)+100</f>
        <v>100</v>
      </c>
      <c r="G13" s="672"/>
      <c r="H13" s="433">
        <f>SUMIF(84:84,G13,85:85)-SUMIF(84:84,C13,85:85)+100</f>
        <v>100</v>
      </c>
      <c r="I13" s="672"/>
      <c r="J13" s="433">
        <f>SUMIF(84:84,I13,85:85)-SUMIF(84:84,C13,85:85)+100</f>
        <v>100</v>
      </c>
      <c r="K13" s="670"/>
      <c r="L13" s="1138"/>
      <c r="M13" s="1129"/>
      <c r="N13" s="1129"/>
      <c r="O13" s="1137"/>
      <c r="P13" s="3222"/>
      <c r="Q13" s="1793">
        <f t="shared" si="6"/>
        <v>111</v>
      </c>
      <c r="R13" s="768" t="s">
        <v>17</v>
      </c>
      <c r="S13" s="769">
        <f t="shared" si="0"/>
        <v>100</v>
      </c>
      <c r="T13" s="768" t="s">
        <v>17</v>
      </c>
      <c r="U13" s="769">
        <f t="shared" si="1"/>
        <v>100</v>
      </c>
      <c r="V13" s="768" t="s">
        <v>17</v>
      </c>
      <c r="W13" s="769">
        <f t="shared" si="2"/>
        <v>100</v>
      </c>
      <c r="X13" s="770"/>
      <c r="Y13" s="3077"/>
      <c r="Z13" s="54">
        <f t="shared" si="7"/>
        <v>111</v>
      </c>
      <c r="AA13" s="771">
        <f>D13/F13</f>
        <v>1</v>
      </c>
      <c r="AB13" s="771">
        <f>D13/H13</f>
        <v>1</v>
      </c>
      <c r="AC13" s="771">
        <f>D13/J13</f>
        <v>1</v>
      </c>
    </row>
    <row r="14" spans="1:30" ht="15.75" hidden="1"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22"/>
      <c r="Q14" s="1793">
        <f t="shared" si="6"/>
        <v>111</v>
      </c>
      <c r="R14" s="768" t="s">
        <v>17</v>
      </c>
      <c r="S14" s="769">
        <f t="shared" si="0"/>
        <v>100</v>
      </c>
      <c r="T14" s="768" t="s">
        <v>17</v>
      </c>
      <c r="U14" s="769">
        <f t="shared" si="1"/>
        <v>100</v>
      </c>
      <c r="V14" s="768" t="s">
        <v>17</v>
      </c>
      <c r="W14" s="769">
        <f t="shared" si="2"/>
        <v>100</v>
      </c>
      <c r="X14" s="770"/>
      <c r="Y14" s="3077"/>
      <c r="Z14" s="54">
        <f t="shared" si="7"/>
        <v>111</v>
      </c>
      <c r="AA14" s="771">
        <f>D14/F14</f>
        <v>1</v>
      </c>
      <c r="AB14" s="771">
        <f>D14/H14</f>
        <v>1</v>
      </c>
      <c r="AC14" s="771">
        <f>D14/J14</f>
        <v>1</v>
      </c>
    </row>
    <row r="15" spans="1:30" ht="99.75">
      <c r="A15" s="438" t="s">
        <v>2559</v>
      </c>
      <c r="B15" s="68" t="s">
        <v>2086</v>
      </c>
      <c r="C15" s="2600" t="str">
        <f>估价对象房地状况!C15</f>
        <v>估价对象周边居住用地比例、居住小区规模和社区发展完善程度，综合评价居住社区成熟度一般</v>
      </c>
      <c r="D15" s="439">
        <v>100</v>
      </c>
      <c r="E15" s="440"/>
      <c r="F15" s="439">
        <f>SUMIF(88:88,E16,89:89)-SUMIF(88:88,C16,89:89)+100</f>
        <v>90</v>
      </c>
      <c r="G15" s="440"/>
      <c r="H15" s="439">
        <f>SUMIF(88:88,G16,89:89)-SUMIF(88:88,C16,89:89)+100</f>
        <v>100</v>
      </c>
      <c r="I15" s="442"/>
      <c r="J15" s="439">
        <f>SUMIF(88:88,I16,89:89)-SUMIF(88:88,C16,89:89)+100</f>
        <v>100</v>
      </c>
      <c r="K15" s="3002">
        <v>10</v>
      </c>
      <c r="L15" s="1138"/>
      <c r="M15" s="1129"/>
      <c r="N15" s="1129"/>
      <c r="O15" s="1137"/>
      <c r="P15" s="3237" t="s">
        <v>2560</v>
      </c>
      <c r="Q15" s="1808" t="str">
        <f t="shared" si="6"/>
        <v>居住社区成熟度</v>
      </c>
      <c r="R15" s="772" t="s">
        <v>17</v>
      </c>
      <c r="S15" s="773">
        <f t="shared" si="0"/>
        <v>90</v>
      </c>
      <c r="T15" s="772" t="s">
        <v>17</v>
      </c>
      <c r="U15" s="773">
        <f t="shared" si="1"/>
        <v>100</v>
      </c>
      <c r="V15" s="772" t="s">
        <v>17</v>
      </c>
      <c r="W15" s="773">
        <f t="shared" si="2"/>
        <v>100</v>
      </c>
      <c r="X15" s="1811"/>
      <c r="Y15" s="3237" t="s">
        <v>2560</v>
      </c>
      <c r="Z15" s="1812" t="str">
        <f t="shared" si="7"/>
        <v>居住社区成熟度</v>
      </c>
      <c r="AA15" s="1809">
        <f t="shared" si="3"/>
        <v>1.1111111111111112</v>
      </c>
      <c r="AB15" s="1809">
        <f t="shared" si="4"/>
        <v>1</v>
      </c>
      <c r="AC15" s="1809">
        <f t="shared" si="5"/>
        <v>1</v>
      </c>
    </row>
    <row r="16" spans="1:30" ht="15">
      <c r="A16" s="426"/>
      <c r="B16" s="444"/>
      <c r="C16" s="445" t="s">
        <v>3155</v>
      </c>
      <c r="D16" s="446"/>
      <c r="E16" s="2602" t="s">
        <v>3156</v>
      </c>
      <c r="F16" s="446"/>
      <c r="G16" s="2602" t="s">
        <v>3155</v>
      </c>
      <c r="H16" s="448"/>
      <c r="I16" s="2601" t="s">
        <v>3155</v>
      </c>
      <c r="J16" s="446"/>
      <c r="K16" s="670"/>
      <c r="L16" s="1138"/>
      <c r="M16" s="1129"/>
      <c r="N16" s="1129"/>
      <c r="O16" s="1137"/>
      <c r="P16" s="3238"/>
      <c r="Q16" s="1808"/>
      <c r="R16" s="772"/>
      <c r="S16" s="773"/>
      <c r="T16" s="772"/>
      <c r="U16" s="773"/>
      <c r="V16" s="772"/>
      <c r="W16" s="773"/>
      <c r="X16" s="1811"/>
      <c r="Y16" s="3238"/>
      <c r="Z16" s="1812"/>
      <c r="AA16" s="1809">
        <v>1</v>
      </c>
      <c r="AB16" s="1809">
        <v>1</v>
      </c>
      <c r="AC16" s="1809">
        <v>1</v>
      </c>
    </row>
    <row r="17" spans="1:29" ht="71.25">
      <c r="A17" s="426"/>
      <c r="B17" s="449" t="s">
        <v>2653</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105</v>
      </c>
      <c r="I17" s="452"/>
      <c r="J17" s="453">
        <f>SUMIF(90:90,I18,91:91)-SUMIF(90:90,C18,91:91)+100</f>
        <v>105</v>
      </c>
      <c r="K17" s="3002">
        <v>5</v>
      </c>
      <c r="L17" s="1138"/>
      <c r="M17" s="1129"/>
      <c r="N17" s="1129"/>
      <c r="O17" s="1137"/>
      <c r="P17" s="3238"/>
      <c r="Q17" s="1808" t="str">
        <f>B17</f>
        <v>商业繁华度</v>
      </c>
      <c r="R17" s="772" t="s">
        <v>17</v>
      </c>
      <c r="S17" s="773">
        <f>F17</f>
        <v>100</v>
      </c>
      <c r="T17" s="772" t="s">
        <v>17</v>
      </c>
      <c r="U17" s="773">
        <f>H17</f>
        <v>105</v>
      </c>
      <c r="V17" s="772" t="s">
        <v>17</v>
      </c>
      <c r="W17" s="773">
        <f>J17</f>
        <v>105</v>
      </c>
      <c r="X17" s="1811"/>
      <c r="Y17" s="3238"/>
      <c r="Z17" s="1812" t="str">
        <f>Q17</f>
        <v>商业繁华度</v>
      </c>
      <c r="AA17" s="1809">
        <f t="shared" si="3"/>
        <v>1</v>
      </c>
      <c r="AB17" s="1809">
        <f t="shared" si="4"/>
        <v>0.95238095238095233</v>
      </c>
      <c r="AC17" s="1809">
        <f t="shared" si="5"/>
        <v>0.95238095238095233</v>
      </c>
    </row>
    <row r="18" spans="1:29" ht="15">
      <c r="A18" s="426"/>
      <c r="B18" s="454"/>
      <c r="C18" s="2605" t="s">
        <v>3156</v>
      </c>
      <c r="D18" s="448"/>
      <c r="E18" s="2607" t="s">
        <v>3156</v>
      </c>
      <c r="F18" s="448"/>
      <c r="G18" s="2607" t="s">
        <v>3155</v>
      </c>
      <c r="H18" s="446"/>
      <c r="I18" s="2606" t="s">
        <v>3155</v>
      </c>
      <c r="J18" s="446"/>
      <c r="K18" s="670"/>
      <c r="L18" s="1138"/>
      <c r="M18" s="1129"/>
      <c r="N18" s="1129"/>
      <c r="O18" s="1137"/>
      <c r="P18" s="3238"/>
      <c r="Q18" s="1808"/>
      <c r="R18" s="772"/>
      <c r="S18" s="773"/>
      <c r="T18" s="772"/>
      <c r="U18" s="773"/>
      <c r="V18" s="772"/>
      <c r="W18" s="773"/>
      <c r="X18" s="1811"/>
      <c r="Y18" s="3238"/>
      <c r="Z18" s="1812"/>
      <c r="AA18" s="1809">
        <v>1</v>
      </c>
      <c r="AB18" s="1809">
        <v>1</v>
      </c>
      <c r="AC18" s="1809">
        <v>1</v>
      </c>
    </row>
    <row r="19" spans="1:29" ht="71.25">
      <c r="A19" s="426"/>
      <c r="B19" s="449" t="s">
        <v>2687</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3</v>
      </c>
      <c r="L19" s="1138"/>
      <c r="M19" s="1129"/>
      <c r="N19" s="1129"/>
      <c r="O19" s="1137"/>
      <c r="P19" s="3238"/>
      <c r="Q19" s="1808" t="str">
        <f>B19</f>
        <v>办公集聚程度</v>
      </c>
      <c r="R19" s="772" t="s">
        <v>17</v>
      </c>
      <c r="S19" s="773">
        <f>F19</f>
        <v>100</v>
      </c>
      <c r="T19" s="772" t="s">
        <v>17</v>
      </c>
      <c r="U19" s="773">
        <f>H19</f>
        <v>100</v>
      </c>
      <c r="V19" s="772" t="s">
        <v>17</v>
      </c>
      <c r="W19" s="773">
        <f>J19</f>
        <v>100</v>
      </c>
      <c r="X19" s="1811"/>
      <c r="Y19" s="3238"/>
      <c r="Z19" s="1812" t="str">
        <f>Q19</f>
        <v>办公集聚程度</v>
      </c>
      <c r="AA19" s="1809">
        <f t="shared" si="3"/>
        <v>1</v>
      </c>
      <c r="AB19" s="1809">
        <f t="shared" si="4"/>
        <v>1</v>
      </c>
      <c r="AC19" s="1809">
        <f t="shared" si="5"/>
        <v>1</v>
      </c>
    </row>
    <row r="20" spans="1:29" ht="15">
      <c r="A20" s="426"/>
      <c r="B20" s="454"/>
      <c r="C20" s="445" t="s">
        <v>3156</v>
      </c>
      <c r="D20" s="446"/>
      <c r="E20" s="2602" t="s">
        <v>3156</v>
      </c>
      <c r="F20" s="446"/>
      <c r="G20" s="2602" t="s">
        <v>3156</v>
      </c>
      <c r="H20" s="446"/>
      <c r="I20" s="2601" t="s">
        <v>3156</v>
      </c>
      <c r="J20" s="446"/>
      <c r="K20" s="670"/>
      <c r="L20" s="1138"/>
      <c r="M20" s="1129"/>
      <c r="N20" s="1129"/>
      <c r="O20" s="1137"/>
      <c r="P20" s="3238"/>
      <c r="Q20" s="1808"/>
      <c r="R20" s="772"/>
      <c r="S20" s="773"/>
      <c r="T20" s="772"/>
      <c r="U20" s="773"/>
      <c r="V20" s="772"/>
      <c r="W20" s="773"/>
      <c r="X20" s="1811"/>
      <c r="Y20" s="3238"/>
      <c r="Z20" s="1812"/>
      <c r="AA20" s="1809">
        <v>1</v>
      </c>
      <c r="AB20" s="1809">
        <v>1</v>
      </c>
      <c r="AC20" s="1809">
        <v>1</v>
      </c>
    </row>
    <row r="21" spans="1:29" ht="85.5">
      <c r="A21" s="426"/>
      <c r="B21" s="449" t="s">
        <v>2709</v>
      </c>
      <c r="C21" s="2604" t="str">
        <f>估价对象房地状况!C18</f>
        <v>估价对象周边道路状况、公共交通通达情况、停车便捷程度，综合评价交通便捷度较好</v>
      </c>
      <c r="D21" s="448">
        <v>100</v>
      </c>
      <c r="E21" s="450"/>
      <c r="F21" s="453">
        <f>SUMIF(94:94,E22,95:95)-SUMIF(94:94,C22,95:95)+100</f>
        <v>95</v>
      </c>
      <c r="G21" s="450"/>
      <c r="H21" s="448">
        <f>SUMIF(94:94,G22,95:95)-SUMIF(94:94,C22,95:95)+100</f>
        <v>100</v>
      </c>
      <c r="I21" s="452"/>
      <c r="J21" s="448">
        <f>SUMIF(94:94,I22,95:95)-SUMIF(94:94,C22,95:95)+100</f>
        <v>100</v>
      </c>
      <c r="K21" s="3002">
        <v>5</v>
      </c>
      <c r="L21" s="1138"/>
      <c r="M21" s="1129"/>
      <c r="N21" s="1129"/>
      <c r="O21" s="1137"/>
      <c r="P21" s="3238"/>
      <c r="Q21" s="1808" t="str">
        <f>B21</f>
        <v>交通便捷度</v>
      </c>
      <c r="R21" s="772" t="s">
        <v>17</v>
      </c>
      <c r="S21" s="773">
        <f>F21</f>
        <v>95</v>
      </c>
      <c r="T21" s="772" t="s">
        <v>17</v>
      </c>
      <c r="U21" s="773">
        <f>H21</f>
        <v>100</v>
      </c>
      <c r="V21" s="772" t="s">
        <v>17</v>
      </c>
      <c r="W21" s="773">
        <f>J21</f>
        <v>100</v>
      </c>
      <c r="X21" s="1811"/>
      <c r="Y21" s="3238"/>
      <c r="Z21" s="1812" t="str">
        <f>Q21</f>
        <v>交通便捷度</v>
      </c>
      <c r="AA21" s="1809">
        <f t="shared" si="3"/>
        <v>1.0526315789473684</v>
      </c>
      <c r="AB21" s="1809">
        <f t="shared" si="4"/>
        <v>1</v>
      </c>
      <c r="AC21" s="1809">
        <f t="shared" si="5"/>
        <v>1</v>
      </c>
    </row>
    <row r="22" spans="1:29" ht="15">
      <c r="A22" s="426"/>
      <c r="B22" s="1382"/>
      <c r="C22" s="445" t="s">
        <v>3155</v>
      </c>
      <c r="D22" s="448"/>
      <c r="E22" s="2602" t="s">
        <v>3156</v>
      </c>
      <c r="F22" s="446"/>
      <c r="G22" s="2602" t="s">
        <v>3155</v>
      </c>
      <c r="H22" s="446"/>
      <c r="I22" s="2601" t="s">
        <v>3155</v>
      </c>
      <c r="J22" s="446"/>
      <c r="K22" s="670"/>
      <c r="L22" s="1138"/>
      <c r="M22" s="1129"/>
      <c r="N22" s="1129"/>
      <c r="O22" s="1137"/>
      <c r="P22" s="3238"/>
      <c r="Q22" s="1808"/>
      <c r="R22" s="772"/>
      <c r="S22" s="773"/>
      <c r="T22" s="772"/>
      <c r="U22" s="773"/>
      <c r="V22" s="772"/>
      <c r="W22" s="773"/>
      <c r="X22" s="1811"/>
      <c r="Y22" s="3238"/>
      <c r="Z22" s="1812"/>
      <c r="AA22" s="1809">
        <v>1</v>
      </c>
      <c r="AB22" s="1809">
        <v>1</v>
      </c>
      <c r="AC22" s="1809">
        <v>1</v>
      </c>
    </row>
    <row r="23" spans="1:29" ht="15">
      <c r="A23" s="403"/>
      <c r="B23" s="449" t="s">
        <v>2747</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38"/>
      <c r="M23" s="1129"/>
      <c r="N23" s="1129"/>
      <c r="O23" s="1137"/>
      <c r="P23" s="3238"/>
      <c r="Q23" s="1808" t="str">
        <f t="shared" ref="Q23:Q37" si="8">B23</f>
        <v>区域土地利用方向</v>
      </c>
      <c r="R23" s="772" t="s">
        <v>17</v>
      </c>
      <c r="S23" s="773">
        <f>F23</f>
        <v>100</v>
      </c>
      <c r="T23" s="772" t="s">
        <v>17</v>
      </c>
      <c r="U23" s="773">
        <f>H23</f>
        <v>100</v>
      </c>
      <c r="V23" s="772" t="s">
        <v>17</v>
      </c>
      <c r="W23" s="773">
        <f>J23</f>
        <v>100</v>
      </c>
      <c r="X23" s="1811"/>
      <c r="Y23" s="3238"/>
      <c r="Z23" s="1812" t="str">
        <f>Q23</f>
        <v>区域土地利用方向</v>
      </c>
      <c r="AA23" s="1809">
        <f t="shared" si="3"/>
        <v>1</v>
      </c>
      <c r="AB23" s="1809">
        <f t="shared" si="4"/>
        <v>1</v>
      </c>
      <c r="AC23" s="1809">
        <f t="shared" si="5"/>
        <v>1</v>
      </c>
    </row>
    <row r="24" spans="1:29" ht="15">
      <c r="A24" s="403"/>
      <c r="B24" s="454"/>
      <c r="C24" s="614" t="s">
        <v>3155</v>
      </c>
      <c r="D24" s="446"/>
      <c r="E24" s="2602" t="s">
        <v>3155</v>
      </c>
      <c r="F24" s="446"/>
      <c r="G24" s="2601" t="s">
        <v>3155</v>
      </c>
      <c r="H24" s="446"/>
      <c r="I24" s="2601" t="s">
        <v>3155</v>
      </c>
      <c r="J24" s="446"/>
      <c r="K24" s="807"/>
      <c r="L24" s="1138"/>
      <c r="M24" s="1129"/>
      <c r="N24" s="1129"/>
      <c r="O24" s="1137"/>
      <c r="P24" s="3238"/>
      <c r="Q24" s="1808"/>
      <c r="R24" s="772"/>
      <c r="S24" s="773"/>
      <c r="T24" s="772"/>
      <c r="U24" s="773"/>
      <c r="V24" s="772"/>
      <c r="W24" s="773"/>
      <c r="X24" s="1811"/>
      <c r="Y24" s="3238"/>
      <c r="Z24" s="1812"/>
      <c r="AA24" s="1809"/>
      <c r="AB24" s="1809"/>
      <c r="AC24" s="1809"/>
    </row>
    <row r="25" spans="1:29" ht="57">
      <c r="A25" s="403"/>
      <c r="B25" s="1382" t="s">
        <v>2748</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8</v>
      </c>
      <c r="L25" s="1138"/>
      <c r="M25" s="1129"/>
      <c r="N25" s="1129"/>
      <c r="O25" s="1137"/>
      <c r="P25" s="3238"/>
      <c r="Q25" s="1808" t="str">
        <f t="shared" si="8"/>
        <v>自然及人文环境状况</v>
      </c>
      <c r="R25" s="772" t="s">
        <v>17</v>
      </c>
      <c r="S25" s="773">
        <f>F25</f>
        <v>100</v>
      </c>
      <c r="T25" s="772" t="s">
        <v>17</v>
      </c>
      <c r="U25" s="773">
        <f>H25</f>
        <v>100</v>
      </c>
      <c r="V25" s="772" t="s">
        <v>17</v>
      </c>
      <c r="W25" s="773">
        <f>J25</f>
        <v>100</v>
      </c>
      <c r="X25" s="1811"/>
      <c r="Y25" s="3238"/>
      <c r="Z25" s="1812" t="str">
        <f>Q25</f>
        <v>自然及人文环境状况</v>
      </c>
      <c r="AA25" s="1809">
        <f t="shared" si="3"/>
        <v>1</v>
      </c>
      <c r="AB25" s="1809">
        <f t="shared" si="4"/>
        <v>1</v>
      </c>
      <c r="AC25" s="1809">
        <f t="shared" si="5"/>
        <v>1</v>
      </c>
    </row>
    <row r="26" spans="1:29" ht="15">
      <c r="A26" s="403"/>
      <c r="B26" s="454"/>
      <c r="C26" s="445" t="s">
        <v>3156</v>
      </c>
      <c r="D26" s="446"/>
      <c r="E26" s="2608" t="s">
        <v>3156</v>
      </c>
      <c r="F26" s="446"/>
      <c r="G26" s="2608" t="s">
        <v>3156</v>
      </c>
      <c r="H26" s="446"/>
      <c r="I26" s="445" t="s">
        <v>3156</v>
      </c>
      <c r="J26" s="446"/>
      <c r="K26" s="670"/>
      <c r="L26" s="1138"/>
      <c r="M26" s="1129"/>
      <c r="N26" s="1129"/>
      <c r="O26" s="1137"/>
      <c r="P26" s="3238"/>
      <c r="Q26" s="1808"/>
      <c r="R26" s="772"/>
      <c r="S26" s="773"/>
      <c r="T26" s="772"/>
      <c r="U26" s="773"/>
      <c r="V26" s="772"/>
      <c r="W26" s="773"/>
      <c r="X26" s="1811"/>
      <c r="Y26" s="3238"/>
      <c r="Z26" s="1812"/>
      <c r="AA26" s="1809">
        <v>1</v>
      </c>
      <c r="AB26" s="1809">
        <v>1</v>
      </c>
      <c r="AC26" s="1809">
        <v>1</v>
      </c>
    </row>
    <row r="27" spans="1:29" s="116" customFormat="1" ht="42.75">
      <c r="A27" s="647"/>
      <c r="B27" s="1382" t="s">
        <v>2654</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5</v>
      </c>
      <c r="L27" s="1130"/>
      <c r="M27" s="1131"/>
      <c r="N27" s="1131"/>
      <c r="O27" s="1132"/>
      <c r="P27" s="3238"/>
      <c r="Q27" s="1793" t="str">
        <f t="shared" si="8"/>
        <v>公共配套设施</v>
      </c>
      <c r="R27" s="768" t="s">
        <v>17</v>
      </c>
      <c r="S27" s="769">
        <f>F27</f>
        <v>100</v>
      </c>
      <c r="T27" s="768" t="s">
        <v>17</v>
      </c>
      <c r="U27" s="769">
        <f>H27</f>
        <v>100</v>
      </c>
      <c r="V27" s="768" t="s">
        <v>17</v>
      </c>
      <c r="W27" s="769">
        <f>J27</f>
        <v>100</v>
      </c>
      <c r="X27" s="770"/>
      <c r="Y27" s="3238"/>
      <c r="Z27" s="54" t="str">
        <f>Q27</f>
        <v>公共配套设施</v>
      </c>
      <c r="AA27" s="1809">
        <f>D27/F27</f>
        <v>1</v>
      </c>
      <c r="AB27" s="1809">
        <f>D27/H27</f>
        <v>1</v>
      </c>
      <c r="AC27" s="1809">
        <f>D27/J27</f>
        <v>1</v>
      </c>
    </row>
    <row r="28" spans="1:29" s="116" customFormat="1" ht="15">
      <c r="A28" s="647"/>
      <c r="B28" s="454"/>
      <c r="C28" s="2696" t="s">
        <v>3155</v>
      </c>
      <c r="D28" s="446"/>
      <c r="E28" s="2608" t="s">
        <v>3155</v>
      </c>
      <c r="F28" s="446"/>
      <c r="G28" s="2608" t="s">
        <v>3155</v>
      </c>
      <c r="H28" s="446"/>
      <c r="I28" s="445" t="s">
        <v>3155</v>
      </c>
      <c r="J28" s="446"/>
      <c r="K28" s="670"/>
      <c r="L28" s="1130"/>
      <c r="M28" s="1131"/>
      <c r="N28" s="1131"/>
      <c r="O28" s="1132"/>
      <c r="P28" s="3238"/>
      <c r="Q28" s="1793"/>
      <c r="R28" s="768"/>
      <c r="S28" s="769"/>
      <c r="T28" s="768"/>
      <c r="U28" s="769"/>
      <c r="V28" s="768"/>
      <c r="W28" s="769"/>
      <c r="X28" s="770"/>
      <c r="Y28" s="3238"/>
      <c r="Z28" s="54"/>
      <c r="AA28" s="1809">
        <v>1</v>
      </c>
      <c r="AB28" s="1809">
        <v>1</v>
      </c>
      <c r="AC28" s="1809">
        <v>1</v>
      </c>
    </row>
    <row r="29" spans="1:29" s="116" customFormat="1" ht="28.5">
      <c r="A29" s="647"/>
      <c r="B29" s="1382" t="s">
        <v>2655</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3</v>
      </c>
      <c r="L29" s="1130"/>
      <c r="M29" s="1131"/>
      <c r="N29" s="1131"/>
      <c r="O29" s="1132"/>
      <c r="P29" s="3238"/>
      <c r="Q29" s="1793" t="str">
        <f t="shared" ref="Q29" si="9">B29</f>
        <v>基础设施水平</v>
      </c>
      <c r="R29" s="768" t="s">
        <v>17</v>
      </c>
      <c r="S29" s="769">
        <f>F29</f>
        <v>100</v>
      </c>
      <c r="T29" s="768" t="s">
        <v>17</v>
      </c>
      <c r="U29" s="769">
        <f>H29</f>
        <v>100</v>
      </c>
      <c r="V29" s="768" t="s">
        <v>17</v>
      </c>
      <c r="W29" s="769">
        <f>J29</f>
        <v>100</v>
      </c>
      <c r="X29" s="770"/>
      <c r="Y29" s="3238"/>
      <c r="Z29" s="54" t="str">
        <f>Q29</f>
        <v>基础设施水平</v>
      </c>
      <c r="AA29" s="1809">
        <f>D29/F29</f>
        <v>1</v>
      </c>
      <c r="AB29" s="1809">
        <f>D29/H29</f>
        <v>1</v>
      </c>
      <c r="AC29" s="1809">
        <f>D29/J29</f>
        <v>1</v>
      </c>
    </row>
    <row r="30" spans="1:29" s="116" customFormat="1" ht="15">
      <c r="A30" s="647"/>
      <c r="B30" s="454"/>
      <c r="C30" s="2696" t="s">
        <v>3157</v>
      </c>
      <c r="D30" s="446"/>
      <c r="E30" s="2697" t="s">
        <v>3157</v>
      </c>
      <c r="F30" s="446"/>
      <c r="G30" s="2697" t="s">
        <v>3157</v>
      </c>
      <c r="H30" s="446"/>
      <c r="I30" s="2697" t="s">
        <v>3157</v>
      </c>
      <c r="J30" s="446"/>
      <c r="K30" s="670"/>
      <c r="L30" s="1130"/>
      <c r="M30" s="1131"/>
      <c r="N30" s="1131"/>
      <c r="O30" s="1132"/>
      <c r="P30" s="3238"/>
      <c r="Q30" s="1793"/>
      <c r="R30" s="768"/>
      <c r="S30" s="769"/>
      <c r="T30" s="768"/>
      <c r="U30" s="769"/>
      <c r="V30" s="768"/>
      <c r="W30" s="769"/>
      <c r="X30" s="770"/>
      <c r="Y30" s="3238"/>
      <c r="Z30" s="54"/>
      <c r="AA30" s="1809">
        <v>1</v>
      </c>
      <c r="AB30" s="1809">
        <v>1</v>
      </c>
      <c r="AC30" s="1809">
        <v>1</v>
      </c>
    </row>
    <row r="31" spans="1:29" ht="15" hidden="1">
      <c r="A31" s="426"/>
      <c r="B31" s="454" t="s">
        <v>2656</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3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8"/>
      <c r="Z31" s="1812" t="str">
        <f t="shared" ref="Z31:Z45" si="13">Q31</f>
        <v>临街状况</v>
      </c>
      <c r="AA31" s="1809">
        <f t="shared" si="3"/>
        <v>1</v>
      </c>
      <c r="AB31" s="1809">
        <f t="shared" si="4"/>
        <v>1</v>
      </c>
      <c r="AC31" s="1809">
        <f t="shared" si="5"/>
        <v>1</v>
      </c>
    </row>
    <row r="32" spans="1:29" ht="27">
      <c r="A32" s="426"/>
      <c r="B32" s="1382" t="s">
        <v>2691</v>
      </c>
      <c r="C32" s="452"/>
      <c r="D32" s="448">
        <v>100</v>
      </c>
      <c r="E32" s="450"/>
      <c r="F32" s="448">
        <f>SUMIF(106:106,E33,107:107)-SUMIF(106:106,C33,107:107)+100</f>
        <v>96</v>
      </c>
      <c r="G32" s="450"/>
      <c r="H32" s="448">
        <f>SUMIF(106:106,G33,107:107)-SUMIF(106:106,C33,107:107)+100</f>
        <v>96</v>
      </c>
      <c r="I32" s="452"/>
      <c r="J32" s="448">
        <f>SUMIF(106:106,I33,107:107)-SUMIF(106:106,C33,107:107)+100</f>
        <v>96</v>
      </c>
      <c r="K32" s="671">
        <v>2</v>
      </c>
      <c r="L32" s="1138"/>
      <c r="M32" s="1129"/>
      <c r="N32" s="1129"/>
      <c r="O32" s="1137"/>
      <c r="P32" s="3238"/>
      <c r="Q32" s="1808" t="str">
        <f t="shared" si="8"/>
        <v>毗邻道路的类型与等级</v>
      </c>
      <c r="R32" s="772" t="s">
        <v>17</v>
      </c>
      <c r="S32" s="773">
        <f t="shared" si="10"/>
        <v>96</v>
      </c>
      <c r="T32" s="772" t="s">
        <v>17</v>
      </c>
      <c r="U32" s="773">
        <f t="shared" si="11"/>
        <v>96</v>
      </c>
      <c r="V32" s="772" t="s">
        <v>17</v>
      </c>
      <c r="W32" s="773">
        <f t="shared" si="12"/>
        <v>96</v>
      </c>
      <c r="X32" s="1811"/>
      <c r="Y32" s="3238"/>
      <c r="Z32" s="1812" t="str">
        <f t="shared" si="13"/>
        <v>毗邻道路的类型与等级</v>
      </c>
      <c r="AA32" s="1809">
        <f t="shared" si="3"/>
        <v>1.0416666666666667</v>
      </c>
      <c r="AB32" s="1809">
        <f t="shared" si="4"/>
        <v>1.0416666666666667</v>
      </c>
      <c r="AC32" s="1809">
        <f t="shared" si="5"/>
        <v>1.0416666666666667</v>
      </c>
    </row>
    <row r="33" spans="1:29" ht="15.75" thickBot="1">
      <c r="A33" s="426"/>
      <c r="B33" s="454"/>
      <c r="C33" s="445" t="s">
        <v>3199</v>
      </c>
      <c r="D33" s="446"/>
      <c r="E33" s="2608" t="s">
        <v>3202</v>
      </c>
      <c r="F33" s="446"/>
      <c r="G33" s="2608" t="s">
        <v>3202</v>
      </c>
      <c r="H33" s="446"/>
      <c r="I33" s="2608" t="s">
        <v>3202</v>
      </c>
      <c r="J33" s="446"/>
      <c r="K33" s="611"/>
      <c r="L33" s="1138"/>
      <c r="M33" s="1129"/>
      <c r="N33" s="1129"/>
      <c r="O33" s="1137"/>
      <c r="P33" s="3238"/>
      <c r="Q33" s="1808"/>
      <c r="R33" s="772"/>
      <c r="S33" s="773"/>
      <c r="T33" s="772"/>
      <c r="U33" s="773"/>
      <c r="V33" s="772"/>
      <c r="W33" s="773"/>
      <c r="X33" s="1811"/>
      <c r="Y33" s="3238"/>
      <c r="Z33" s="1812"/>
      <c r="AA33" s="1809">
        <v>1</v>
      </c>
      <c r="AB33" s="1809">
        <v>1</v>
      </c>
      <c r="AC33" s="1809">
        <v>1</v>
      </c>
    </row>
    <row r="34" spans="1:29" ht="15" hidden="1">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38"/>
      <c r="Q34" s="1808" t="str">
        <f t="shared" si="8"/>
        <v>土地级别</v>
      </c>
      <c r="R34" s="772" t="s">
        <v>17</v>
      </c>
      <c r="S34" s="773">
        <f t="shared" si="10"/>
        <v>100</v>
      </c>
      <c r="T34" s="772" t="s">
        <v>17</v>
      </c>
      <c r="U34" s="773">
        <f t="shared" si="11"/>
        <v>100</v>
      </c>
      <c r="V34" s="772" t="s">
        <v>17</v>
      </c>
      <c r="W34" s="773">
        <f t="shared" si="12"/>
        <v>100</v>
      </c>
      <c r="X34" s="1811"/>
      <c r="Y34" s="3238"/>
      <c r="Z34" s="1812" t="str">
        <f t="shared" si="13"/>
        <v>土地级别</v>
      </c>
      <c r="AA34" s="1809">
        <f t="shared" si="3"/>
        <v>1</v>
      </c>
      <c r="AB34" s="1809">
        <f t="shared" si="4"/>
        <v>1</v>
      </c>
      <c r="AC34" s="1809">
        <f t="shared" si="5"/>
        <v>1</v>
      </c>
    </row>
    <row r="35" spans="1:29" ht="15" hidden="1">
      <c r="A35" s="403"/>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38"/>
      <c r="Q35" s="1808">
        <f t="shared" si="8"/>
        <v>111</v>
      </c>
      <c r="R35" s="772" t="s">
        <v>17</v>
      </c>
      <c r="S35" s="773">
        <f t="shared" si="10"/>
        <v>100</v>
      </c>
      <c r="T35" s="772" t="s">
        <v>17</v>
      </c>
      <c r="U35" s="773">
        <f t="shared" si="11"/>
        <v>100</v>
      </c>
      <c r="V35" s="772" t="s">
        <v>17</v>
      </c>
      <c r="W35" s="773">
        <f t="shared" si="12"/>
        <v>100</v>
      </c>
      <c r="X35" s="1811"/>
      <c r="Y35" s="3238"/>
      <c r="Z35" s="1812">
        <f t="shared" si="13"/>
        <v>111</v>
      </c>
      <c r="AA35" s="1809">
        <f t="shared" si="3"/>
        <v>1</v>
      </c>
      <c r="AB35" s="1809">
        <f t="shared" si="4"/>
        <v>1</v>
      </c>
      <c r="AC35" s="1809">
        <f t="shared" si="5"/>
        <v>1</v>
      </c>
    </row>
    <row r="36" spans="1:29" ht="15" hidden="1">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39" t="s">
        <v>2565</v>
      </c>
      <c r="Q36" s="1808">
        <f t="shared" si="8"/>
        <v>111</v>
      </c>
      <c r="R36" s="772" t="s">
        <v>17</v>
      </c>
      <c r="S36" s="773">
        <f t="shared" si="10"/>
        <v>100</v>
      </c>
      <c r="T36" s="772" t="s">
        <v>17</v>
      </c>
      <c r="U36" s="773">
        <f t="shared" si="11"/>
        <v>100</v>
      </c>
      <c r="V36" s="772" t="s">
        <v>17</v>
      </c>
      <c r="W36" s="773">
        <f t="shared" si="12"/>
        <v>100</v>
      </c>
      <c r="X36" s="1811"/>
      <c r="Y36" s="3240" t="s">
        <v>2565</v>
      </c>
      <c r="Z36" s="1812">
        <f t="shared" si="13"/>
        <v>111</v>
      </c>
      <c r="AA36" s="1809">
        <f t="shared" si="3"/>
        <v>1</v>
      </c>
      <c r="AB36" s="1809">
        <f t="shared" si="4"/>
        <v>1</v>
      </c>
      <c r="AC36" s="1809">
        <f t="shared" si="5"/>
        <v>1</v>
      </c>
    </row>
    <row r="37" spans="1:29" s="469" customFormat="1" ht="15.75" hidden="1" thickBot="1">
      <c r="A37" s="674"/>
      <c r="B37" s="1386">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40"/>
      <c r="Q37" s="1808">
        <f t="shared" si="8"/>
        <v>111</v>
      </c>
      <c r="R37" s="775" t="s">
        <v>17</v>
      </c>
      <c r="S37" s="776">
        <f t="shared" si="10"/>
        <v>100</v>
      </c>
      <c r="T37" s="775" t="s">
        <v>17</v>
      </c>
      <c r="U37" s="776">
        <f t="shared" si="11"/>
        <v>100</v>
      </c>
      <c r="V37" s="775" t="s">
        <v>17</v>
      </c>
      <c r="W37" s="776">
        <f t="shared" si="12"/>
        <v>100</v>
      </c>
      <c r="X37" s="777"/>
      <c r="Y37" s="3240"/>
      <c r="Z37" s="778">
        <f t="shared" si="13"/>
        <v>111</v>
      </c>
      <c r="AA37" s="1809">
        <f t="shared" si="3"/>
        <v>1</v>
      </c>
      <c r="AB37" s="1809">
        <f t="shared" si="4"/>
        <v>1</v>
      </c>
      <c r="AC37" s="1809">
        <f t="shared" si="5"/>
        <v>1</v>
      </c>
    </row>
    <row r="38" spans="1:29" ht="15">
      <c r="A38" s="470" t="s">
        <v>2563</v>
      </c>
      <c r="B38" s="454" t="s">
        <v>2750</v>
      </c>
      <c r="C38" s="677">
        <f>18487+49916</f>
        <v>68403</v>
      </c>
      <c r="D38" s="465">
        <v>100</v>
      </c>
      <c r="E38" s="677">
        <f>土地案例!F2</f>
        <v>132213.79999999999</v>
      </c>
      <c r="F38" s="465">
        <f>LOOKUP(E38,117:117,118:118)-LOOKUP(C38,117:117,118:118)+100</f>
        <v>101.5</v>
      </c>
      <c r="G38" s="677">
        <f>土地案例!F3</f>
        <v>11312</v>
      </c>
      <c r="H38" s="465">
        <f>LOOKUP(G38,117:117,118:118)-LOOKUP(C38,117:117,118:118)+100</f>
        <v>99</v>
      </c>
      <c r="I38" s="528">
        <f>土地案例!F4</f>
        <v>26311</v>
      </c>
      <c r="J38" s="465">
        <f>LOOKUP(I38,117:117,118:118)-LOOKUP(C38,117:117,118:118)+100</f>
        <v>99.5</v>
      </c>
      <c r="K38" s="611"/>
      <c r="L38" s="1138"/>
      <c r="M38" s="1129"/>
      <c r="N38" s="1129"/>
      <c r="O38" s="1137"/>
      <c r="P38" s="3240"/>
      <c r="Q38" s="1808" t="str">
        <f>B38</f>
        <v>宗地面积</v>
      </c>
      <c r="R38" s="772" t="s">
        <v>17</v>
      </c>
      <c r="S38" s="773">
        <f t="shared" si="10"/>
        <v>101.5</v>
      </c>
      <c r="T38" s="772" t="s">
        <v>17</v>
      </c>
      <c r="U38" s="773">
        <f t="shared" si="11"/>
        <v>99</v>
      </c>
      <c r="V38" s="772" t="s">
        <v>17</v>
      </c>
      <c r="W38" s="773">
        <f t="shared" si="12"/>
        <v>99.5</v>
      </c>
      <c r="X38" s="1811"/>
      <c r="Y38" s="3240"/>
      <c r="Z38" s="1812" t="str">
        <f t="shared" si="13"/>
        <v>宗地面积</v>
      </c>
      <c r="AA38" s="1809">
        <f t="shared" si="3"/>
        <v>0.98522167487684731</v>
      </c>
      <c r="AB38" s="1809">
        <f t="shared" si="4"/>
        <v>1.0101010101010102</v>
      </c>
      <c r="AC38" s="1809">
        <f t="shared" si="5"/>
        <v>1.0050251256281406</v>
      </c>
    </row>
    <row r="39" spans="1:29" ht="15">
      <c r="A39" s="470"/>
      <c r="B39" s="420" t="s">
        <v>2751</v>
      </c>
      <c r="C39" s="2610" t="s">
        <v>3193</v>
      </c>
      <c r="D39" s="433">
        <v>100</v>
      </c>
      <c r="E39" s="2610" t="s">
        <v>3193</v>
      </c>
      <c r="F39" s="433">
        <f>SUMIF(119:119,E39,120:120)-SUMIF(119:119,C39,120:120)+100</f>
        <v>100</v>
      </c>
      <c r="G39" s="2610" t="s">
        <v>3193</v>
      </c>
      <c r="H39" s="433">
        <f>SUMIF(119:119,G39,120:120)-SUMIF(119:119,C39,120:120)+100</f>
        <v>100</v>
      </c>
      <c r="I39" s="2610" t="s">
        <v>3193</v>
      </c>
      <c r="J39" s="433">
        <f>SUMIF(119:119,I39,120:120)-SUMIF(119:119,C39,120:120)+100</f>
        <v>100</v>
      </c>
      <c r="K39" s="610">
        <v>2</v>
      </c>
      <c r="L39" s="1138"/>
      <c r="M39" s="1129"/>
      <c r="N39" s="1129"/>
      <c r="O39" s="1137"/>
      <c r="P39" s="3240"/>
      <c r="Q39" s="1808" t="str">
        <f t="shared" ref="Q39:Q45" si="14">B39</f>
        <v>宗地形状</v>
      </c>
      <c r="R39" s="772" t="s">
        <v>17</v>
      </c>
      <c r="S39" s="773">
        <f t="shared" si="10"/>
        <v>100</v>
      </c>
      <c r="T39" s="772" t="s">
        <v>17</v>
      </c>
      <c r="U39" s="773">
        <f t="shared" si="11"/>
        <v>100</v>
      </c>
      <c r="V39" s="772" t="s">
        <v>17</v>
      </c>
      <c r="W39" s="773">
        <f t="shared" si="12"/>
        <v>100</v>
      </c>
      <c r="X39" s="1811"/>
      <c r="Y39" s="3240"/>
      <c r="Z39" s="1812" t="str">
        <f t="shared" si="13"/>
        <v>宗地形状</v>
      </c>
      <c r="AA39" s="1809">
        <f t="shared" si="3"/>
        <v>1</v>
      </c>
      <c r="AB39" s="1809">
        <f t="shared" si="4"/>
        <v>1</v>
      </c>
      <c r="AC39" s="1809">
        <f t="shared" si="5"/>
        <v>1</v>
      </c>
    </row>
    <row r="40" spans="1:29" ht="15" hidden="1">
      <c r="A40" s="470"/>
      <c r="B40" s="420" t="s">
        <v>2752</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8"/>
      <c r="M40" s="1129"/>
      <c r="N40" s="1129"/>
      <c r="O40" s="1137"/>
      <c r="P40" s="3240"/>
      <c r="Q40" s="1808" t="str">
        <f t="shared" si="14"/>
        <v>临街宽度及深度</v>
      </c>
      <c r="R40" s="772" t="s">
        <v>17</v>
      </c>
      <c r="S40" s="773">
        <f t="shared" si="10"/>
        <v>100</v>
      </c>
      <c r="T40" s="772" t="s">
        <v>17</v>
      </c>
      <c r="U40" s="773">
        <f t="shared" si="11"/>
        <v>100</v>
      </c>
      <c r="V40" s="772" t="s">
        <v>17</v>
      </c>
      <c r="W40" s="773">
        <f t="shared" si="12"/>
        <v>100</v>
      </c>
      <c r="X40" s="1811"/>
      <c r="Y40" s="3240"/>
      <c r="Z40" s="1812" t="str">
        <f t="shared" si="13"/>
        <v>临街宽度及深度</v>
      </c>
      <c r="AA40" s="1809">
        <f t="shared" si="3"/>
        <v>1</v>
      </c>
      <c r="AB40" s="1809">
        <f t="shared" si="4"/>
        <v>1</v>
      </c>
      <c r="AC40" s="1809">
        <f t="shared" si="5"/>
        <v>1</v>
      </c>
    </row>
    <row r="41" spans="1:29" s="116" customFormat="1" ht="15">
      <c r="A41" s="471"/>
      <c r="B41" s="420" t="s">
        <v>2753</v>
      </c>
      <c r="C41" s="2698" t="s">
        <v>3157</v>
      </c>
      <c r="D41" s="135">
        <v>100</v>
      </c>
      <c r="E41" s="2698" t="s">
        <v>3157</v>
      </c>
      <c r="F41" s="433">
        <f>SUMIF(123:123,E41,124:124)-SUMIF(123:123,C41,124:124)+100</f>
        <v>100</v>
      </c>
      <c r="G41" s="2698" t="s">
        <v>3157</v>
      </c>
      <c r="H41" s="433">
        <f>SUMIF(123:123,G41,124:124)-SUMIF(123:123,C41,124:124)+100</f>
        <v>100</v>
      </c>
      <c r="I41" s="2698" t="s">
        <v>3157</v>
      </c>
      <c r="J41" s="433">
        <f>SUMIF(123:123,I41,124:124)-SUMIF(123:123,C41,124:124)+100</f>
        <v>100</v>
      </c>
      <c r="K41" s="610">
        <v>2</v>
      </c>
      <c r="L41" s="1130"/>
      <c r="M41" s="1131"/>
      <c r="N41" s="1131"/>
      <c r="O41" s="1132"/>
      <c r="P41" s="3240"/>
      <c r="Q41" s="1808" t="str">
        <f t="shared" si="14"/>
        <v>宗地开发程度</v>
      </c>
      <c r="R41" s="768" t="s">
        <v>17</v>
      </c>
      <c r="S41" s="769">
        <f t="shared" si="10"/>
        <v>100</v>
      </c>
      <c r="T41" s="768" t="s">
        <v>17</v>
      </c>
      <c r="U41" s="769">
        <f t="shared" si="11"/>
        <v>100</v>
      </c>
      <c r="V41" s="768" t="s">
        <v>17</v>
      </c>
      <c r="W41" s="769">
        <f t="shared" si="12"/>
        <v>100</v>
      </c>
      <c r="X41" s="770"/>
      <c r="Y41" s="3240"/>
      <c r="Z41" s="54" t="str">
        <f t="shared" si="13"/>
        <v>宗地开发程度</v>
      </c>
      <c r="AA41" s="771">
        <f t="shared" si="3"/>
        <v>1</v>
      </c>
      <c r="AB41" s="771">
        <f t="shared" si="4"/>
        <v>1</v>
      </c>
      <c r="AC41" s="771">
        <f t="shared" si="5"/>
        <v>1</v>
      </c>
    </row>
    <row r="42" spans="1:29" ht="15.75" thickBot="1">
      <c r="A42" s="470"/>
      <c r="B42" s="420" t="s">
        <v>2754</v>
      </c>
      <c r="C42" s="2610" t="s">
        <v>3155</v>
      </c>
      <c r="D42" s="433">
        <v>100</v>
      </c>
      <c r="E42" s="2610" t="s">
        <v>3155</v>
      </c>
      <c r="F42" s="433">
        <f>SUMIF(125:125,E42,126:126)-SUMIF(125:125,C42,126:126)+100</f>
        <v>100</v>
      </c>
      <c r="G42" s="2610" t="s">
        <v>3155</v>
      </c>
      <c r="H42" s="433">
        <f>SUMIF(125:125,G42,126:126)-SUMIF(125:125,C42,126:126)+100</f>
        <v>100</v>
      </c>
      <c r="I42" s="2610" t="s">
        <v>3155</v>
      </c>
      <c r="J42" s="433">
        <f>SUMIF(125:125,I42,126:126)-SUMIF(125:125,C42,126:126)+100</f>
        <v>100</v>
      </c>
      <c r="K42" s="610">
        <v>2</v>
      </c>
      <c r="L42" s="1138"/>
      <c r="M42" s="1129"/>
      <c r="N42" s="1129"/>
      <c r="O42" s="1137"/>
      <c r="P42" s="3240" t="s">
        <v>2565</v>
      </c>
      <c r="Q42" s="1808" t="str">
        <f t="shared" si="14"/>
        <v>工程地质条件</v>
      </c>
      <c r="R42" s="772" t="s">
        <v>17</v>
      </c>
      <c r="S42" s="773">
        <f t="shared" si="10"/>
        <v>100</v>
      </c>
      <c r="T42" s="772" t="s">
        <v>17</v>
      </c>
      <c r="U42" s="773">
        <f t="shared" si="11"/>
        <v>100</v>
      </c>
      <c r="V42" s="772" t="s">
        <v>17</v>
      </c>
      <c r="W42" s="773">
        <f t="shared" si="12"/>
        <v>100</v>
      </c>
      <c r="X42" s="1811"/>
      <c r="Y42" s="3240" t="s">
        <v>2565</v>
      </c>
      <c r="Z42" s="1812" t="str">
        <f t="shared" si="13"/>
        <v>工程地质条件</v>
      </c>
      <c r="AA42" s="1809">
        <f t="shared" si="3"/>
        <v>1</v>
      </c>
      <c r="AB42" s="1809">
        <f t="shared" si="4"/>
        <v>1</v>
      </c>
      <c r="AC42" s="1809">
        <f t="shared" si="5"/>
        <v>1</v>
      </c>
    </row>
    <row r="43" spans="1:29" ht="15" hidden="1">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40"/>
      <c r="Q43" s="1808">
        <f t="shared" si="14"/>
        <v>111</v>
      </c>
      <c r="R43" s="772" t="s">
        <v>17</v>
      </c>
      <c r="S43" s="773">
        <f t="shared" si="10"/>
        <v>100</v>
      </c>
      <c r="T43" s="772" t="s">
        <v>17</v>
      </c>
      <c r="U43" s="773">
        <f t="shared" si="11"/>
        <v>100</v>
      </c>
      <c r="V43" s="772" t="s">
        <v>17</v>
      </c>
      <c r="W43" s="773">
        <f t="shared" si="12"/>
        <v>100</v>
      </c>
      <c r="X43" s="1811"/>
      <c r="Y43" s="3240"/>
      <c r="Z43" s="1812">
        <f t="shared" si="13"/>
        <v>111</v>
      </c>
      <c r="AA43" s="1809">
        <f t="shared" si="3"/>
        <v>1</v>
      </c>
      <c r="AB43" s="1809">
        <f t="shared" si="4"/>
        <v>1</v>
      </c>
      <c r="AC43" s="1809">
        <f t="shared" si="5"/>
        <v>1</v>
      </c>
    </row>
    <row r="44" spans="1:29" ht="15" hidden="1">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40"/>
      <c r="Q44" s="1808">
        <f t="shared" si="14"/>
        <v>111</v>
      </c>
      <c r="R44" s="772" t="s">
        <v>17</v>
      </c>
      <c r="S44" s="773">
        <f t="shared" si="10"/>
        <v>100</v>
      </c>
      <c r="T44" s="772" t="s">
        <v>17</v>
      </c>
      <c r="U44" s="773">
        <f t="shared" si="11"/>
        <v>100</v>
      </c>
      <c r="V44" s="772" t="s">
        <v>17</v>
      </c>
      <c r="W44" s="773">
        <f t="shared" si="12"/>
        <v>100</v>
      </c>
      <c r="X44" s="1811"/>
      <c r="Y44" s="3240"/>
      <c r="Z44" s="1812">
        <f t="shared" si="13"/>
        <v>111</v>
      </c>
      <c r="AA44" s="1809">
        <f t="shared" si="3"/>
        <v>1</v>
      </c>
      <c r="AB44" s="1809">
        <f t="shared" si="4"/>
        <v>1</v>
      </c>
      <c r="AC44" s="1809">
        <f t="shared" si="5"/>
        <v>1</v>
      </c>
    </row>
    <row r="45" spans="1:29" s="469" customFormat="1" ht="15.75" hidden="1" thickBot="1">
      <c r="A45" s="466"/>
      <c r="B45" s="1385">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40"/>
      <c r="Q45" s="1808">
        <f t="shared" si="14"/>
        <v>111</v>
      </c>
      <c r="R45" s="775" t="s">
        <v>17</v>
      </c>
      <c r="S45" s="776">
        <f t="shared" si="10"/>
        <v>100</v>
      </c>
      <c r="T45" s="775" t="s">
        <v>17</v>
      </c>
      <c r="U45" s="776">
        <f t="shared" si="11"/>
        <v>100</v>
      </c>
      <c r="V45" s="775" t="s">
        <v>17</v>
      </c>
      <c r="W45" s="776">
        <f t="shared" si="12"/>
        <v>100</v>
      </c>
      <c r="X45" s="777"/>
      <c r="Y45" s="3240"/>
      <c r="Z45" s="778">
        <f t="shared" si="13"/>
        <v>111</v>
      </c>
      <c r="AA45" s="1809">
        <f t="shared" si="3"/>
        <v>1</v>
      </c>
      <c r="AB45" s="1809">
        <f t="shared" si="4"/>
        <v>1</v>
      </c>
      <c r="AC45" s="1809">
        <f t="shared" si="5"/>
        <v>1</v>
      </c>
    </row>
    <row r="46" spans="1:29" ht="15">
      <c r="A46" s="477" t="s">
        <v>2720</v>
      </c>
      <c r="B46" s="2700" t="s">
        <v>2755</v>
      </c>
      <c r="C46" s="680" t="s">
        <v>1</v>
      </c>
      <c r="D46" s="479"/>
      <c r="E46" s="480">
        <f>土地案例!Q2</f>
        <v>5812.28</v>
      </c>
      <c r="F46" s="481"/>
      <c r="G46" s="482">
        <f>土地案例!Q3</f>
        <v>6500.07</v>
      </c>
      <c r="H46" s="483"/>
      <c r="I46" s="480">
        <f>土地案例!Q4</f>
        <v>6862.93</v>
      </c>
      <c r="J46" s="483"/>
      <c r="K46" s="781"/>
      <c r="L46" s="1141"/>
      <c r="M46" s="1142"/>
      <c r="N46" s="1129"/>
      <c r="O46" s="1142"/>
      <c r="P46" s="3222" t="str">
        <f>A46</f>
        <v>成交单价</v>
      </c>
      <c r="Q46" s="3222"/>
      <c r="R46" s="3235">
        <f>E46</f>
        <v>5812.28</v>
      </c>
      <c r="S46" s="3235"/>
      <c r="T46" s="3235">
        <f>G46</f>
        <v>6500.07</v>
      </c>
      <c r="U46" s="3235"/>
      <c r="V46" s="3235">
        <f>I46</f>
        <v>6862.93</v>
      </c>
      <c r="W46" s="3235"/>
      <c r="X46" s="757"/>
      <c r="Y46" s="779"/>
      <c r="Z46" s="757"/>
      <c r="AA46" s="757"/>
      <c r="AB46" s="757"/>
      <c r="AC46" s="757"/>
    </row>
    <row r="47" spans="1:29" ht="15.75" thickBot="1">
      <c r="A47" s="484" t="s">
        <v>2669</v>
      </c>
      <c r="B47" s="681"/>
      <c r="C47" s="488">
        <f>R48</f>
        <v>6922</v>
      </c>
      <c r="D47" s="487"/>
      <c r="E47" s="488">
        <f>R47</f>
        <v>6518</v>
      </c>
      <c r="F47" s="489"/>
      <c r="G47" s="486">
        <f>T47</f>
        <v>7367</v>
      </c>
      <c r="H47" s="487"/>
      <c r="I47" s="488">
        <f>V47</f>
        <v>6881</v>
      </c>
      <c r="J47" s="487"/>
      <c r="K47" s="782"/>
      <c r="L47" s="1141"/>
      <c r="M47" s="1142"/>
      <c r="N47" s="1142"/>
      <c r="O47" s="1142"/>
      <c r="P47" s="3222" t="str">
        <f>A47</f>
        <v>比较价值（元/平方米）</v>
      </c>
      <c r="Q47" s="3222"/>
      <c r="R47" s="3241">
        <f>ROUND(PRODUCT(R46,AA7:AA45),0)</f>
        <v>6518</v>
      </c>
      <c r="S47" s="3241"/>
      <c r="T47" s="3241">
        <f>ROUND(PRODUCT(T46,AB7:AB45),0)</f>
        <v>7367</v>
      </c>
      <c r="U47" s="3241"/>
      <c r="V47" s="3241">
        <f>ROUND(PRODUCT(V46,AC7:AC45),0)</f>
        <v>6881</v>
      </c>
      <c r="W47" s="3241"/>
      <c r="X47" s="757"/>
      <c r="Y47" s="757"/>
      <c r="Z47" s="757"/>
      <c r="AA47" s="757"/>
      <c r="AB47" s="757"/>
      <c r="AC47" s="757"/>
    </row>
    <row r="48" spans="1:29" ht="15.75" thickBot="1">
      <c r="A48" s="490" t="s">
        <v>2756</v>
      </c>
      <c r="B48" s="491"/>
      <c r="C48" s="492">
        <f>R48</f>
        <v>6922</v>
      </c>
      <c r="D48" s="492"/>
      <c r="E48" s="492"/>
      <c r="F48" s="492"/>
      <c r="G48" s="492"/>
      <c r="H48" s="492"/>
      <c r="I48" s="492"/>
      <c r="J48" s="492"/>
      <c r="K48" s="783"/>
      <c r="L48" s="1141"/>
      <c r="M48" s="1142"/>
      <c r="N48" s="1142"/>
      <c r="O48" s="1142"/>
      <c r="P48" s="3242" t="str">
        <f>A48</f>
        <v>估价对象XX用房的比较价值（楼面单价，元/平方米）</v>
      </c>
      <c r="Q48" s="3243"/>
      <c r="R48" s="3244">
        <f>ROUND(AVERAGE(R47:V47),0)</f>
        <v>6922</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2671</v>
      </c>
      <c r="D51" s="496"/>
      <c r="E51" s="497">
        <f>IF(E46&lt;E47,E47/E46-1,E46/E47-1)</f>
        <v>0.12141878918427884</v>
      </c>
      <c r="F51" s="498" t="str">
        <f>IF(OR(E51&gt;=0.3,E51&lt;=-0.3),"超过30%","")</f>
        <v/>
      </c>
      <c r="G51" s="497">
        <f>IF(G46&lt;G47,G47/G46-1,G46/G47-1)</f>
        <v>0.1333724098355864</v>
      </c>
      <c r="H51" s="498" t="str">
        <f>IF(OR(G51&gt;=0.3,G51&lt;=-0.3),"超过30%","")</f>
        <v/>
      </c>
      <c r="I51" s="497">
        <f>IF(I46&lt;I47,I47/I46-1,I46/I47-1)</f>
        <v>2.6329862026859274E-3</v>
      </c>
      <c r="J51" s="498" t="str">
        <f>IF(OR(I51&gt;=0.3,I51&lt;=-0.3),"超过30%","")</f>
        <v/>
      </c>
      <c r="K51" s="1103"/>
      <c r="L51" s="1104"/>
      <c r="M51" s="1142"/>
      <c r="N51" s="1142"/>
      <c r="O51" s="1142"/>
    </row>
    <row r="52" spans="1:15" ht="13.5" customHeight="1">
      <c r="A52" s="1142"/>
      <c r="B52" s="1142"/>
      <c r="C52" s="495" t="s">
        <v>2672</v>
      </c>
      <c r="D52" s="499"/>
      <c r="E52" s="497">
        <f>IF(E47&lt;G47,G47/E47-1,E47/G47-1)</f>
        <v>0.13025467934949364</v>
      </c>
      <c r="F52" s="498" t="str">
        <f>IF(OR(E52&gt;=0.2,E52&lt;=-0.2),"超过20%","")</f>
        <v/>
      </c>
      <c r="G52" s="497">
        <f>IF(G47&lt;I47,I47/G47-1,G47/I47-1)</f>
        <v>7.0629269001598605E-2</v>
      </c>
      <c r="H52" s="498" t="str">
        <f>IF(OR(G52&gt;=0.2,G52&lt;=-0.2),"超过20%","")</f>
        <v/>
      </c>
      <c r="I52" s="497">
        <f>IF(I47&lt;E47,E47/I47-1,I47/E47-1)</f>
        <v>5.5691930039889481E-2</v>
      </c>
      <c r="J52" s="498" t="str">
        <f>IF(OR(I52&gt;=0.2,I52&lt;=-0.2),"超过20%","")</f>
        <v/>
      </c>
      <c r="K52" s="1103"/>
      <c r="L52" s="1104"/>
      <c r="M52" s="1142"/>
      <c r="N52" s="1142"/>
      <c r="O52" s="1142"/>
    </row>
    <row r="53" spans="1:15" s="500" customFormat="1" ht="13.5" customHeight="1">
      <c r="A53" s="1143"/>
      <c r="B53" s="1143"/>
      <c r="C53" s="495" t="s">
        <v>2673</v>
      </c>
      <c r="D53" s="499"/>
      <c r="E53" s="497">
        <f>IF(E46&lt;G46,G46/E46-1,E46/G46-1)</f>
        <v>0.11833394124164709</v>
      </c>
      <c r="F53" s="498" t="str">
        <f>IF(OR(E53&gt;=0.3,E53&lt;=-0.3),"超过30%","")</f>
        <v/>
      </c>
      <c r="G53" s="497">
        <f>IF(G46&lt;I46,I46/G46-1,G46/I46-1)</f>
        <v>5.5824014202924044E-2</v>
      </c>
      <c r="H53" s="498" t="str">
        <f>IF(OR(G53&gt;=0.3,G53&lt;=-0.3),"超过30%","")</f>
        <v/>
      </c>
      <c r="I53" s="497">
        <f>IF(I46&lt;E46,E46/I46-1,I46/E46-1)</f>
        <v>0.18076383106113281</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2757</v>
      </c>
      <c r="B55" s="683" t="s">
        <v>2758</v>
      </c>
      <c r="C55" s="2701" t="s">
        <v>2759</v>
      </c>
      <c r="D55" s="2702" t="s">
        <v>2760</v>
      </c>
      <c r="E55" s="684" t="s">
        <v>2761</v>
      </c>
      <c r="F55" s="1105" t="s">
        <v>2762</v>
      </c>
      <c r="G55" s="3223" t="s">
        <v>2763</v>
      </c>
      <c r="H55" s="3245"/>
      <c r="I55" s="143" t="s">
        <v>2764</v>
      </c>
      <c r="J55" s="2703" t="str">
        <f>项目基本情况!F35</f>
        <v>重庆市</v>
      </c>
      <c r="K55" s="2704" t="s">
        <v>2765</v>
      </c>
      <c r="L55" s="1104"/>
      <c r="M55" s="1142"/>
      <c r="N55" s="1142"/>
      <c r="O55" s="1142"/>
    </row>
    <row r="56" spans="1:15" s="690" customFormat="1">
      <c r="A56" s="686" t="s">
        <v>2766</v>
      </c>
      <c r="B56" s="687">
        <f>C48</f>
        <v>6922</v>
      </c>
      <c r="C56" s="688">
        <v>1</v>
      </c>
      <c r="D56" s="1161">
        <v>1</v>
      </c>
      <c r="E56" s="688">
        <f>'数据-汇总表'!E8+'数据-汇总表'!E9</f>
        <v>3217.2100000000009</v>
      </c>
      <c r="F56" s="1101">
        <f t="shared" ref="F56:F65" si="15">ROUND(B56*E56/10000,0)</f>
        <v>2227</v>
      </c>
      <c r="G56" s="3246"/>
      <c r="H56" s="3222"/>
      <c r="I56" s="1106">
        <v>1</v>
      </c>
      <c r="J56" s="1109">
        <v>1</v>
      </c>
      <c r="K56" s="1143"/>
      <c r="L56" s="939"/>
      <c r="M56" s="939"/>
      <c r="N56" s="939"/>
      <c r="O56" s="939"/>
    </row>
    <row r="57" spans="1:15" s="690" customFormat="1">
      <c r="A57" s="691" t="s">
        <v>2767</v>
      </c>
      <c r="B57" s="261">
        <f>ROUND($C$48*C57*D57,0)</f>
        <v>0</v>
      </c>
      <c r="C57" s="199">
        <f t="shared" ref="C57:C65" si="16">IF($C$55="北京市系数",I57,J57)</f>
        <v>0</v>
      </c>
      <c r="D57" s="1162">
        <v>0.25</v>
      </c>
      <c r="E57" s="692"/>
      <c r="F57" s="1101">
        <f t="shared" si="15"/>
        <v>0</v>
      </c>
      <c r="G57" s="3247" t="s">
        <v>2768</v>
      </c>
      <c r="H57" s="1102">
        <f>项目基本情况!B37</f>
        <v>0</v>
      </c>
      <c r="I57" s="1106">
        <f>SUMIF(修正!A45:A56,H57,修正!B45:B56)</f>
        <v>0</v>
      </c>
      <c r="J57" s="1110"/>
      <c r="K57" s="1142"/>
      <c r="L57" s="939"/>
      <c r="M57" s="939"/>
      <c r="N57" s="939"/>
      <c r="O57" s="939"/>
    </row>
    <row r="58" spans="1:15" s="690" customFormat="1">
      <c r="A58" s="691" t="s">
        <v>2769</v>
      </c>
      <c r="B58" s="261">
        <f t="shared" ref="B58:B65" si="17">ROUND($C$48*C58*D58,0)</f>
        <v>0</v>
      </c>
      <c r="C58" s="199">
        <f t="shared" si="16"/>
        <v>0</v>
      </c>
      <c r="D58" s="1162">
        <v>0.25</v>
      </c>
      <c r="E58" s="692"/>
      <c r="F58" s="1101">
        <f t="shared" si="15"/>
        <v>0</v>
      </c>
      <c r="G58" s="3247"/>
      <c r="H58" s="1102">
        <f>项目基本情况!B37</f>
        <v>0</v>
      </c>
      <c r="I58" s="1106">
        <f>SUMIF(修正!A45:A56,H58,修正!C45:C56)</f>
        <v>0</v>
      </c>
      <c r="J58" s="1110"/>
      <c r="K58" s="1143"/>
      <c r="L58" s="939"/>
      <c r="M58" s="939"/>
      <c r="N58" s="939"/>
      <c r="O58" s="939"/>
    </row>
    <row r="59" spans="1:15" s="690" customFormat="1">
      <c r="A59" s="691" t="s">
        <v>2770</v>
      </c>
      <c r="B59" s="261">
        <f t="shared" si="17"/>
        <v>0</v>
      </c>
      <c r="C59" s="199">
        <f t="shared" si="16"/>
        <v>0</v>
      </c>
      <c r="D59" s="1162">
        <v>0.25</v>
      </c>
      <c r="E59" s="692"/>
      <c r="F59" s="1101">
        <f t="shared" si="15"/>
        <v>0</v>
      </c>
      <c r="G59" s="3247"/>
      <c r="H59" s="1102">
        <f>项目基本情况!B37</f>
        <v>0</v>
      </c>
      <c r="I59" s="1106">
        <f>SUMIF(修正!A45:A56,H59,修正!D45:D56)</f>
        <v>0</v>
      </c>
      <c r="J59" s="1110"/>
      <c r="K59" s="1142"/>
      <c r="L59" s="939"/>
      <c r="M59" s="939"/>
      <c r="N59" s="939"/>
      <c r="O59" s="939"/>
    </row>
    <row r="60" spans="1:15" s="690" customFormat="1">
      <c r="A60" s="691" t="s">
        <v>2771</v>
      </c>
      <c r="B60" s="261">
        <f t="shared" si="17"/>
        <v>0</v>
      </c>
      <c r="C60" s="199">
        <f t="shared" si="16"/>
        <v>0</v>
      </c>
      <c r="D60" s="1162">
        <v>0.25</v>
      </c>
      <c r="E60" s="692"/>
      <c r="F60" s="1101">
        <f t="shared" si="15"/>
        <v>0</v>
      </c>
      <c r="G60" s="3247"/>
      <c r="H60" s="1102">
        <f>项目基本情况!B37</f>
        <v>0</v>
      </c>
      <c r="I60" s="1106">
        <f>SUMIF(修正!A45:A56,H60,修正!E45:E56)</f>
        <v>0</v>
      </c>
      <c r="J60" s="1110"/>
      <c r="K60" s="1143"/>
      <c r="L60" s="939"/>
      <c r="M60" s="939"/>
      <c r="N60" s="939"/>
      <c r="O60" s="939"/>
    </row>
    <row r="61" spans="1:15" s="690" customFormat="1">
      <c r="A61" s="691" t="s">
        <v>2772</v>
      </c>
      <c r="B61" s="261">
        <f t="shared" si="17"/>
        <v>0</v>
      </c>
      <c r="C61" s="199">
        <f t="shared" si="16"/>
        <v>0</v>
      </c>
      <c r="D61" s="1162">
        <v>0.25</v>
      </c>
      <c r="E61" s="260">
        <f>'数据-汇总表'!E11</f>
        <v>0</v>
      </c>
      <c r="F61" s="1101">
        <f t="shared" si="15"/>
        <v>0</v>
      </c>
      <c r="G61" s="2705" t="s">
        <v>2773</v>
      </c>
      <c r="H61" s="1102">
        <f>项目基本情况!C37</f>
        <v>0</v>
      </c>
      <c r="I61" s="1106">
        <f>SUMIF(修正!A45:A56,H61,修正!F45:F56)</f>
        <v>0</v>
      </c>
      <c r="J61" s="1110"/>
      <c r="K61" s="1142"/>
      <c r="L61" s="939"/>
      <c r="M61" s="939"/>
      <c r="N61" s="939"/>
      <c r="O61" s="939"/>
    </row>
    <row r="62" spans="1:15" s="690" customFormat="1">
      <c r="A62" s="691" t="s">
        <v>2774</v>
      </c>
      <c r="B62" s="261">
        <f t="shared" si="17"/>
        <v>0</v>
      </c>
      <c r="C62" s="199">
        <f t="shared" si="16"/>
        <v>0</v>
      </c>
      <c r="D62" s="1162">
        <v>0.25</v>
      </c>
      <c r="E62" s="260">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2776</v>
      </c>
      <c r="B63" s="261">
        <f t="shared" si="17"/>
        <v>0</v>
      </c>
      <c r="C63" s="199">
        <f t="shared" si="16"/>
        <v>0</v>
      </c>
      <c r="D63" s="1162">
        <v>0.25</v>
      </c>
      <c r="E63" s="260">
        <f>'数据-汇总表'!E13</f>
        <v>0</v>
      </c>
      <c r="F63" s="1101">
        <f t="shared" si="15"/>
        <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2778</v>
      </c>
      <c r="B64" s="261">
        <f t="shared" si="17"/>
        <v>0</v>
      </c>
      <c r="C64" s="199">
        <f t="shared" si="16"/>
        <v>0</v>
      </c>
      <c r="D64" s="1162">
        <v>0.25</v>
      </c>
      <c r="E64" s="260">
        <f>'数据-汇总表'!E14</f>
        <v>0</v>
      </c>
      <c r="F64" s="1101">
        <f t="shared" si="15"/>
        <v>0</v>
      </c>
      <c r="G64" s="2705" t="s">
        <v>2768</v>
      </c>
      <c r="H64" s="1102">
        <f>项目基本情况!B37</f>
        <v>0</v>
      </c>
      <c r="I64" s="1106">
        <f>SUMIF(修正!A45:A56,H64,修正!H45:H56)</f>
        <v>0</v>
      </c>
      <c r="J64" s="1110"/>
      <c r="K64" s="1143"/>
      <c r="L64" s="939"/>
      <c r="M64" s="939"/>
      <c r="N64" s="939"/>
      <c r="O64" s="939"/>
    </row>
    <row r="65" spans="1:17" s="690" customFormat="1" ht="15" thickBot="1">
      <c r="A65" s="691" t="s">
        <v>2779</v>
      </c>
      <c r="B65" s="261">
        <f t="shared" si="17"/>
        <v>0</v>
      </c>
      <c r="C65" s="199">
        <f t="shared" si="16"/>
        <v>0</v>
      </c>
      <c r="D65" s="1162">
        <v>0.25</v>
      </c>
      <c r="E65" s="260">
        <f>'数据-汇总表'!E15</f>
        <v>0</v>
      </c>
      <c r="F65" s="1101">
        <f t="shared" si="15"/>
        <v>0</v>
      </c>
      <c r="G65" s="2706" t="s">
        <v>2773</v>
      </c>
      <c r="H65" s="1112">
        <f>项目基本情况!C37</f>
        <v>0</v>
      </c>
      <c r="I65" s="1108">
        <f>SUMIF(修正!A45:A56,H65,修正!H45:H56)</f>
        <v>0</v>
      </c>
      <c r="J65" s="1111"/>
      <c r="K65" s="1142"/>
      <c r="L65" s="939"/>
      <c r="M65" s="939"/>
      <c r="N65" s="939"/>
      <c r="O65" s="939"/>
    </row>
    <row r="66" spans="1:17" s="690" customFormat="1" ht="13.5" thickBot="1">
      <c r="A66" s="693" t="s">
        <v>2780</v>
      </c>
      <c r="B66" s="694" t="s">
        <v>28</v>
      </c>
      <c r="C66" s="694" t="s">
        <v>29</v>
      </c>
      <c r="D66" s="694" t="s">
        <v>1029</v>
      </c>
      <c r="E66" s="694">
        <f>IF(B46="楼面地价",SUM(E56:E65),'数据-汇总表'!D3)</f>
        <v>3217.2100000000009</v>
      </c>
      <c r="F66" s="695">
        <f>IF(B46="楼面地价",SUM(F56:F65),ROUND(C48*E66/10000,0))</f>
        <v>2227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2674</v>
      </c>
      <c r="B69" s="757"/>
      <c r="C69" s="762"/>
      <c r="D69" s="762"/>
      <c r="E69" s="762"/>
      <c r="F69" s="763"/>
      <c r="G69" s="763"/>
      <c r="H69" s="762"/>
      <c r="I69" s="762"/>
      <c r="J69" s="1157"/>
      <c r="K69" s="1158"/>
      <c r="L69" s="1159"/>
      <c r="M69" s="1157"/>
      <c r="N69" s="1157"/>
      <c r="O69" s="1157"/>
      <c r="P69" s="501"/>
      <c r="Q69" s="502"/>
    </row>
    <row r="70" spans="1:17" s="506" customFormat="1" ht="15">
      <c r="A70" s="2707" t="s">
        <v>2781</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5"/>
    </row>
    <row r="71" spans="1:17" s="116" customFormat="1" ht="30" customHeight="1">
      <c r="A71" s="2708" t="s">
        <v>2782</v>
      </c>
      <c r="B71" s="331" t="str">
        <f>"北京市平均增长率"&amp;TEXT(SUMIF(基准地价修正!N21:N25,A71,基准地价修正!P21:P25),"0.00%")</f>
        <v>北京市平均增长率2.55%</v>
      </c>
      <c r="C71" s="601">
        <v>100</v>
      </c>
      <c r="D71" s="593">
        <f>C71-0.5</f>
        <v>99.5</v>
      </c>
      <c r="E71" s="593">
        <f t="shared" ref="E71:L71" si="20">D71-0.5</f>
        <v>99</v>
      </c>
      <c r="F71" s="593">
        <f t="shared" si="20"/>
        <v>98.5</v>
      </c>
      <c r="G71" s="593">
        <f t="shared" si="20"/>
        <v>98</v>
      </c>
      <c r="H71" s="593">
        <f t="shared" si="20"/>
        <v>97.5</v>
      </c>
      <c r="I71" s="593">
        <f t="shared" si="20"/>
        <v>97</v>
      </c>
      <c r="J71" s="593">
        <f t="shared" si="20"/>
        <v>96.5</v>
      </c>
      <c r="K71" s="593">
        <f t="shared" si="20"/>
        <v>96</v>
      </c>
      <c r="L71" s="593">
        <f t="shared" si="20"/>
        <v>95.5</v>
      </c>
      <c r="M71" s="1565"/>
      <c r="N71" s="593"/>
      <c r="O71" s="1566"/>
      <c r="P71" s="502"/>
    </row>
    <row r="72" spans="1:17" s="116" customFormat="1" ht="15.75" thickBot="1">
      <c r="A72" s="513" t="s">
        <v>2585</v>
      </c>
      <c r="B72" s="514"/>
      <c r="C72" s="515"/>
      <c r="D72" s="516"/>
      <c r="E72" s="516"/>
      <c r="F72" s="516"/>
      <c r="G72" s="516"/>
      <c r="H72" s="516"/>
      <c r="I72" s="516"/>
      <c r="J72" s="516"/>
      <c r="K72" s="516"/>
      <c r="L72" s="516"/>
      <c r="M72" s="517"/>
      <c r="N72" s="516"/>
      <c r="O72" s="1160"/>
      <c r="P72" s="502"/>
      <c r="Q72" s="502"/>
    </row>
    <row r="73" spans="1:17" s="116" customFormat="1" ht="15">
      <c r="A73" s="519" t="s">
        <v>2550</v>
      </c>
      <c r="B73" s="508"/>
      <c r="C73" s="520" t="s">
        <v>2652</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2588</v>
      </c>
      <c r="B75" s="526" t="s">
        <v>2554</v>
      </c>
      <c r="C75" s="2972" t="s">
        <v>3189</v>
      </c>
      <c r="D75" s="528"/>
      <c r="E75" s="528"/>
      <c r="F75" s="528"/>
      <c r="G75" s="528"/>
      <c r="H75" s="528"/>
      <c r="I75" s="528"/>
      <c r="J75" s="528"/>
      <c r="K75" s="529"/>
      <c r="L75" s="530"/>
      <c r="M75" s="531"/>
      <c r="N75" s="1150"/>
      <c r="O75" s="1150"/>
      <c r="P75" s="44"/>
      <c r="Q75" s="502"/>
    </row>
    <row r="76" spans="1:17" ht="15.75" thickBot="1">
      <c r="A76" s="532"/>
      <c r="B76" s="533"/>
      <c r="C76" s="534">
        <v>100</v>
      </c>
      <c r="D76" s="534"/>
      <c r="E76" s="534"/>
      <c r="F76" s="534"/>
      <c r="G76" s="534"/>
      <c r="H76" s="534"/>
      <c r="I76" s="534"/>
      <c r="J76" s="534"/>
      <c r="K76" s="534"/>
      <c r="L76" s="534"/>
      <c r="M76" s="535"/>
      <c r="N76" s="1151"/>
      <c r="O76" s="1151"/>
      <c r="P76" s="44"/>
      <c r="Q76" s="502"/>
    </row>
    <row r="77" spans="1:17" ht="27.75" thickTop="1">
      <c r="A77" s="532"/>
      <c r="B77" s="536" t="s">
        <v>2557</v>
      </c>
      <c r="C77" s="537"/>
      <c r="D77" s="537"/>
      <c r="E77" s="537"/>
      <c r="F77" s="537"/>
      <c r="G77" s="537"/>
      <c r="H77" s="537"/>
      <c r="I77" s="537"/>
      <c r="J77" s="537"/>
      <c r="K77" s="538"/>
      <c r="L77" s="539"/>
      <c r="M77" s="540"/>
      <c r="N77" s="1150"/>
      <c r="O77" s="1150"/>
      <c r="P77" s="44"/>
      <c r="Q77" s="502"/>
    </row>
    <row r="78" spans="1:17" ht="15.75" thickBot="1">
      <c r="A78" s="532"/>
      <c r="B78" s="541"/>
      <c r="C78" s="542"/>
      <c r="D78" s="542"/>
      <c r="E78" s="542"/>
      <c r="F78" s="542"/>
      <c r="G78" s="542"/>
      <c r="H78" s="542"/>
      <c r="I78" s="542"/>
      <c r="J78" s="542"/>
      <c r="K78" s="542"/>
      <c r="L78" s="542"/>
      <c r="M78" s="543"/>
      <c r="N78" s="1151"/>
      <c r="O78" s="1151"/>
      <c r="P78" s="44"/>
      <c r="Q78" s="502"/>
    </row>
    <row r="79" spans="1:17" ht="15.75" thickTop="1">
      <c r="A79" s="532"/>
      <c r="B79" s="544" t="s">
        <v>2558</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6（含）-7</v>
      </c>
      <c r="J79" s="545" t="str">
        <f t="shared" si="21"/>
        <v>7（含）-8</v>
      </c>
      <c r="K79" s="545" t="str">
        <f t="shared" si="21"/>
        <v>8（含）-9</v>
      </c>
      <c r="L79" s="545" t="str">
        <f t="shared" si="21"/>
        <v>9（含）-</v>
      </c>
      <c r="M79" s="446" t="str">
        <f>M80&amp;"（含）"&amp;"-"&amp;P80</f>
        <v>（含）-</v>
      </c>
      <c r="N79" s="1151"/>
      <c r="O79" s="1151"/>
      <c r="P79" s="44"/>
      <c r="Q79" s="502"/>
    </row>
    <row r="80" spans="1:17" ht="15">
      <c r="A80" s="532"/>
      <c r="B80" s="546"/>
      <c r="C80" s="547">
        <v>0</v>
      </c>
      <c r="D80" s="547">
        <f>C80+1</f>
        <v>1</v>
      </c>
      <c r="E80" s="547">
        <f t="shared" ref="E80:L80" si="22">D80+1</f>
        <v>2</v>
      </c>
      <c r="F80" s="547">
        <f t="shared" si="22"/>
        <v>3</v>
      </c>
      <c r="G80" s="547">
        <f t="shared" si="22"/>
        <v>4</v>
      </c>
      <c r="H80" s="547">
        <f t="shared" si="22"/>
        <v>5</v>
      </c>
      <c r="I80" s="547">
        <f t="shared" si="22"/>
        <v>6</v>
      </c>
      <c r="J80" s="547">
        <f t="shared" si="22"/>
        <v>7</v>
      </c>
      <c r="K80" s="547">
        <f t="shared" si="22"/>
        <v>8</v>
      </c>
      <c r="L80" s="547">
        <f t="shared" si="22"/>
        <v>9</v>
      </c>
      <c r="M80" s="550"/>
      <c r="N80" s="1150"/>
      <c r="O80" s="1150"/>
      <c r="P80" s="44"/>
      <c r="Q80" s="502"/>
    </row>
    <row r="81" spans="1:17" ht="15.75" thickBot="1">
      <c r="A81" s="532"/>
      <c r="B81" s="533"/>
      <c r="C81" s="542">
        <v>100</v>
      </c>
      <c r="D81" s="542">
        <f t="shared" ref="D81:M81" si="23">IF($B$46="单位面积地价",C81+$K11,C81-$K11)</f>
        <v>97</v>
      </c>
      <c r="E81" s="542">
        <f t="shared" si="23"/>
        <v>94</v>
      </c>
      <c r="F81" s="542">
        <f t="shared" si="23"/>
        <v>91</v>
      </c>
      <c r="G81" s="542">
        <f t="shared" si="23"/>
        <v>88</v>
      </c>
      <c r="H81" s="542">
        <f t="shared" si="23"/>
        <v>85</v>
      </c>
      <c r="I81" s="542">
        <f t="shared" si="23"/>
        <v>82</v>
      </c>
      <c r="J81" s="542">
        <f t="shared" si="23"/>
        <v>79</v>
      </c>
      <c r="K81" s="542">
        <f t="shared" si="23"/>
        <v>76</v>
      </c>
      <c r="L81" s="542">
        <f t="shared" si="23"/>
        <v>73</v>
      </c>
      <c r="M81" s="542">
        <f t="shared" si="23"/>
        <v>70</v>
      </c>
      <c r="N81" s="1151"/>
      <c r="O81" s="1151"/>
      <c r="P81" s="44"/>
      <c r="Q81" s="502"/>
    </row>
    <row r="82" spans="1:17" s="469" customFormat="1" ht="15.75" thickTop="1">
      <c r="A82" s="551"/>
      <c r="B82" s="536" t="str">
        <f>B12</f>
        <v>自持</v>
      </c>
      <c r="C82" s="2970" t="s">
        <v>3153</v>
      </c>
      <c r="D82" s="2970" t="s">
        <v>3154</v>
      </c>
      <c r="E82" s="552"/>
      <c r="F82" s="552"/>
      <c r="G82" s="552"/>
      <c r="H82" s="553"/>
      <c r="I82" s="553"/>
      <c r="J82" s="553"/>
      <c r="K82" s="553"/>
      <c r="L82" s="554"/>
      <c r="M82" s="555"/>
      <c r="N82" s="1152"/>
      <c r="O82" s="1152"/>
      <c r="P82" s="556"/>
      <c r="Q82" s="557"/>
    </row>
    <row r="83" spans="1:17" s="469" customFormat="1" ht="15.75" thickBot="1">
      <c r="A83" s="551"/>
      <c r="B83" s="541"/>
      <c r="C83" s="558">
        <v>100</v>
      </c>
      <c r="D83" s="534">
        <v>120</v>
      </c>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50"/>
      <c r="O88" s="1150"/>
      <c r="P88" s="575"/>
      <c r="Q88" s="502"/>
    </row>
    <row r="89" spans="1:17" ht="15.75" thickBot="1">
      <c r="A89" s="532"/>
      <c r="B89" s="541"/>
      <c r="C89" s="542">
        <v>100</v>
      </c>
      <c r="D89" s="542">
        <f>C89-$K15</f>
        <v>90</v>
      </c>
      <c r="E89" s="542">
        <f>D89-$K15</f>
        <v>80</v>
      </c>
      <c r="F89" s="542">
        <f>E89-$K15</f>
        <v>70</v>
      </c>
      <c r="G89" s="542">
        <f>F89-$K15</f>
        <v>60</v>
      </c>
      <c r="H89" s="542"/>
      <c r="I89" s="542"/>
      <c r="J89" s="542"/>
      <c r="K89" s="542"/>
      <c r="L89" s="542"/>
      <c r="M89" s="543"/>
      <c r="N89" s="1151"/>
      <c r="O89" s="1151"/>
      <c r="P89" s="44"/>
      <c r="Q89" s="502"/>
    </row>
    <row r="90" spans="1:17" ht="15.75" thickTop="1">
      <c r="A90" s="532"/>
      <c r="B90" s="536" t="s">
        <v>2783</v>
      </c>
      <c r="C90" s="576" t="s">
        <v>2597</v>
      </c>
      <c r="D90" s="576" t="s">
        <v>2598</v>
      </c>
      <c r="E90" s="576" t="s">
        <v>2599</v>
      </c>
      <c r="F90" s="576" t="s">
        <v>2600</v>
      </c>
      <c r="G90" s="576" t="s">
        <v>2601</v>
      </c>
      <c r="H90" s="537"/>
      <c r="I90" s="537"/>
      <c r="J90" s="537"/>
      <c r="K90" s="538"/>
      <c r="L90" s="539"/>
      <c r="M90" s="540"/>
      <c r="N90" s="1150"/>
      <c r="O90" s="1150"/>
      <c r="P90" s="44"/>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51"/>
      <c r="O91" s="1151"/>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50"/>
      <c r="O92" s="1150"/>
      <c r="P92" s="44"/>
      <c r="Q92" s="502"/>
    </row>
    <row r="93" spans="1:17" ht="15.75" thickBot="1">
      <c r="A93" s="532"/>
      <c r="B93" s="541"/>
      <c r="C93" s="542">
        <v>100</v>
      </c>
      <c r="D93" s="542">
        <f>C93-$K19</f>
        <v>97</v>
      </c>
      <c r="E93" s="542">
        <f>D93-$K19</f>
        <v>94</v>
      </c>
      <c r="F93" s="542">
        <f>E93-$K19</f>
        <v>91</v>
      </c>
      <c r="G93" s="542">
        <f>F93-$K19</f>
        <v>88</v>
      </c>
      <c r="H93" s="542"/>
      <c r="I93" s="542"/>
      <c r="J93" s="542"/>
      <c r="K93" s="542"/>
      <c r="L93" s="542"/>
      <c r="M93" s="543"/>
      <c r="N93" s="1151"/>
      <c r="O93" s="1151"/>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50"/>
      <c r="O94" s="1150"/>
      <c r="P94" s="44"/>
      <c r="Q94" s="502"/>
    </row>
    <row r="95" spans="1:17" ht="15.75" thickBot="1">
      <c r="A95" s="532"/>
      <c r="B95" s="541"/>
      <c r="C95" s="542">
        <v>100</v>
      </c>
      <c r="D95" s="542">
        <f>C95-$K21</f>
        <v>95</v>
      </c>
      <c r="E95" s="542">
        <f>D95-$K21</f>
        <v>90</v>
      </c>
      <c r="F95" s="542">
        <f>E95-$K21</f>
        <v>85</v>
      </c>
      <c r="G95" s="542">
        <f>F95-$K21</f>
        <v>80</v>
      </c>
      <c r="H95" s="542"/>
      <c r="I95" s="542"/>
      <c r="J95" s="542"/>
      <c r="K95" s="542"/>
      <c r="L95" s="542"/>
      <c r="M95" s="543"/>
      <c r="N95" s="1151"/>
      <c r="O95" s="1151"/>
      <c r="P95" s="44"/>
      <c r="Q95" s="502"/>
    </row>
    <row r="96" spans="1:17" s="116" customFormat="1" ht="15.75" thickTop="1">
      <c r="A96" s="577"/>
      <c r="B96" s="536" t="s">
        <v>2784</v>
      </c>
      <c r="C96" s="576" t="s">
        <v>2597</v>
      </c>
      <c r="D96" s="576" t="s">
        <v>2598</v>
      </c>
      <c r="E96" s="576" t="s">
        <v>2599</v>
      </c>
      <c r="F96" s="576" t="s">
        <v>2600</v>
      </c>
      <c r="G96" s="576" t="s">
        <v>2601</v>
      </c>
      <c r="H96" s="576"/>
      <c r="I96" s="576"/>
      <c r="J96" s="576"/>
      <c r="K96" s="576"/>
      <c r="L96" s="696"/>
      <c r="M96" s="620"/>
      <c r="N96" s="1149"/>
      <c r="O96" s="1149"/>
      <c r="P96" s="44"/>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1"/>
      <c r="O97" s="1151"/>
      <c r="P97" s="44"/>
      <c r="Q97" s="502"/>
    </row>
    <row r="98" spans="1:17" s="116" customFormat="1" ht="27.75" thickTop="1">
      <c r="A98" s="577"/>
      <c r="B98" s="536" t="s">
        <v>2785</v>
      </c>
      <c r="C98" s="571" t="s">
        <v>2597</v>
      </c>
      <c r="D98" s="571" t="s">
        <v>2598</v>
      </c>
      <c r="E98" s="571" t="s">
        <v>2599</v>
      </c>
      <c r="F98" s="571" t="s">
        <v>2600</v>
      </c>
      <c r="G98" s="571" t="s">
        <v>2601</v>
      </c>
      <c r="H98" s="576"/>
      <c r="I98" s="576"/>
      <c r="J98" s="576"/>
      <c r="K98" s="576"/>
      <c r="L98" s="576"/>
      <c r="M98" s="620"/>
      <c r="N98" s="1149"/>
      <c r="O98" s="1149"/>
      <c r="P98" s="44"/>
      <c r="Q98" s="502"/>
    </row>
    <row r="99" spans="1:17" s="116" customFormat="1" ht="15.75" thickBot="1">
      <c r="A99" s="577"/>
      <c r="B99" s="541"/>
      <c r="C99" s="542">
        <v>100</v>
      </c>
      <c r="D99" s="542">
        <f>C99-$K25</f>
        <v>92</v>
      </c>
      <c r="E99" s="542">
        <f>D99-$K25</f>
        <v>84</v>
      </c>
      <c r="F99" s="542">
        <f>E99-$K25</f>
        <v>76</v>
      </c>
      <c r="G99" s="542">
        <f>F99-$K25</f>
        <v>68</v>
      </c>
      <c r="H99" s="542"/>
      <c r="I99" s="542"/>
      <c r="J99" s="542"/>
      <c r="K99" s="542"/>
      <c r="L99" s="542"/>
      <c r="M99" s="543"/>
      <c r="N99" s="1151"/>
      <c r="O99" s="1151"/>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52"/>
      <c r="O100" s="1152"/>
      <c r="P100" s="556"/>
      <c r="Q100" s="557"/>
    </row>
    <row r="101" spans="1:17" s="469" customFormat="1" ht="15.75" thickBot="1">
      <c r="A101" s="551"/>
      <c r="B101" s="541"/>
      <c r="C101" s="542">
        <v>100</v>
      </c>
      <c r="D101" s="542">
        <f>C101-$K27</f>
        <v>95</v>
      </c>
      <c r="E101" s="542">
        <f>D101-$K27</f>
        <v>90</v>
      </c>
      <c r="F101" s="542">
        <f>E101-$K27</f>
        <v>85</v>
      </c>
      <c r="G101" s="542">
        <f>F101-$K27</f>
        <v>80</v>
      </c>
      <c r="H101" s="605"/>
      <c r="I101" s="605"/>
      <c r="J101" s="605"/>
      <c r="K101" s="605"/>
      <c r="L101" s="605"/>
      <c r="M101" s="606"/>
      <c r="N101" s="1152"/>
      <c r="O101" s="1152"/>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3"/>
      <c r="N102" s="1152"/>
      <c r="O102" s="1152"/>
      <c r="P102" s="556"/>
      <c r="Q102" s="557"/>
    </row>
    <row r="103" spans="1:17" s="469" customFormat="1" ht="15.75" thickBot="1">
      <c r="A103" s="551"/>
      <c r="B103" s="544"/>
      <c r="C103" s="542">
        <v>100</v>
      </c>
      <c r="D103" s="542">
        <f>C103-$K29</f>
        <v>97</v>
      </c>
      <c r="E103" s="542">
        <f>D103-$K29</f>
        <v>94</v>
      </c>
      <c r="F103" s="542">
        <f>E103-$K29</f>
        <v>91</v>
      </c>
      <c r="G103" s="542">
        <f>F103-$K29</f>
        <v>88</v>
      </c>
      <c r="H103" s="546"/>
      <c r="I103" s="546"/>
      <c r="J103" s="546"/>
      <c r="K103" s="546"/>
      <c r="L103" s="546"/>
      <c r="M103" s="1383"/>
      <c r="N103" s="1152"/>
      <c r="O103" s="1152"/>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50"/>
      <c r="O104" s="1150"/>
      <c r="P104" s="44"/>
      <c r="Q104" s="502"/>
    </row>
    <row r="105" spans="1:17" ht="15.75" thickBot="1">
      <c r="A105" s="532"/>
      <c r="B105" s="541"/>
      <c r="C105" s="542">
        <v>100</v>
      </c>
      <c r="D105" s="542">
        <f>C105-$K31</f>
        <v>100</v>
      </c>
      <c r="E105" s="542">
        <f t="shared" ref="E105:M105" si="24">D105-$K31</f>
        <v>100</v>
      </c>
      <c r="F105" s="542">
        <f t="shared" si="24"/>
        <v>100</v>
      </c>
      <c r="G105" s="542">
        <f t="shared" si="24"/>
        <v>100</v>
      </c>
      <c r="H105" s="542">
        <f t="shared" si="24"/>
        <v>100</v>
      </c>
      <c r="I105" s="542">
        <f t="shared" si="24"/>
        <v>100</v>
      </c>
      <c r="J105" s="542">
        <f t="shared" si="24"/>
        <v>100</v>
      </c>
      <c r="K105" s="542">
        <f t="shared" si="24"/>
        <v>100</v>
      </c>
      <c r="L105" s="542">
        <f t="shared" si="24"/>
        <v>100</v>
      </c>
      <c r="M105" s="542">
        <f t="shared" si="24"/>
        <v>100</v>
      </c>
      <c r="N105" s="1151"/>
      <c r="O105" s="1151"/>
      <c r="P105" s="44"/>
      <c r="Q105" s="502"/>
    </row>
    <row r="106" spans="1:17" ht="27.75" thickTop="1">
      <c r="A106" s="532"/>
      <c r="B106" s="536" t="s">
        <v>2691</v>
      </c>
      <c r="C106" s="2970" t="s">
        <v>3197</v>
      </c>
      <c r="D106" s="2970" t="s">
        <v>3198</v>
      </c>
      <c r="E106" s="2970" t="s">
        <v>3200</v>
      </c>
      <c r="F106" s="2970" t="s">
        <v>3201</v>
      </c>
      <c r="G106" s="2970" t="s">
        <v>3203</v>
      </c>
      <c r="H106" s="581"/>
      <c r="I106" s="581"/>
      <c r="J106" s="581"/>
      <c r="K106" s="582"/>
      <c r="L106" s="583"/>
      <c r="M106" s="584"/>
      <c r="N106" s="1150"/>
      <c r="O106" s="1150"/>
      <c r="P106" s="44"/>
      <c r="Q106" s="502"/>
    </row>
    <row r="107" spans="1:17" ht="15.75" thickBot="1">
      <c r="A107" s="532"/>
      <c r="B107" s="541"/>
      <c r="C107" s="542">
        <v>100</v>
      </c>
      <c r="D107" s="542">
        <f>C107-$K32</f>
        <v>98</v>
      </c>
      <c r="E107" s="542">
        <f t="shared" ref="E107:M107" si="25">D107-$K32</f>
        <v>96</v>
      </c>
      <c r="F107" s="542">
        <f t="shared" si="25"/>
        <v>94</v>
      </c>
      <c r="G107" s="542">
        <f t="shared" si="25"/>
        <v>92</v>
      </c>
      <c r="H107" s="542">
        <f t="shared" si="25"/>
        <v>90</v>
      </c>
      <c r="I107" s="542">
        <f t="shared" si="25"/>
        <v>88</v>
      </c>
      <c r="J107" s="542">
        <f t="shared" si="25"/>
        <v>86</v>
      </c>
      <c r="K107" s="542">
        <f t="shared" si="25"/>
        <v>84</v>
      </c>
      <c r="L107" s="542">
        <f t="shared" si="25"/>
        <v>82</v>
      </c>
      <c r="M107" s="542">
        <f t="shared" si="25"/>
        <v>80</v>
      </c>
      <c r="N107" s="1151"/>
      <c r="O107" s="1151"/>
      <c r="P107" s="44"/>
      <c r="Q107" s="502"/>
    </row>
    <row r="108" spans="1:17" ht="15.75" thickTop="1">
      <c r="A108" s="532"/>
      <c r="B108" s="536" t="s">
        <v>2749</v>
      </c>
      <c r="C108" s="581"/>
      <c r="D108" s="581"/>
      <c r="E108" s="581"/>
      <c r="F108" s="581"/>
      <c r="G108" s="581"/>
      <c r="H108" s="581"/>
      <c r="I108" s="581"/>
      <c r="J108" s="581"/>
      <c r="K108" s="582"/>
      <c r="L108" s="583"/>
      <c r="M108" s="584"/>
      <c r="N108" s="1150"/>
      <c r="O108" s="1150"/>
      <c r="P108" s="44"/>
      <c r="Q108" s="502"/>
    </row>
    <row r="109" spans="1:17" ht="15.75" thickBot="1">
      <c r="A109" s="532"/>
      <c r="B109" s="541"/>
      <c r="C109" s="542">
        <v>100</v>
      </c>
      <c r="D109" s="542">
        <f>C109-$K34</f>
        <v>100</v>
      </c>
      <c r="E109" s="542">
        <f t="shared" ref="E109:M109" si="26">D109-$K34</f>
        <v>100</v>
      </c>
      <c r="F109" s="542">
        <f t="shared" si="26"/>
        <v>100</v>
      </c>
      <c r="G109" s="542">
        <f t="shared" si="26"/>
        <v>100</v>
      </c>
      <c r="H109" s="542">
        <f t="shared" si="26"/>
        <v>100</v>
      </c>
      <c r="I109" s="542">
        <f t="shared" si="26"/>
        <v>100</v>
      </c>
      <c r="J109" s="542">
        <f t="shared" si="26"/>
        <v>100</v>
      </c>
      <c r="K109" s="542">
        <f t="shared" si="26"/>
        <v>100</v>
      </c>
      <c r="L109" s="542">
        <f t="shared" si="26"/>
        <v>100</v>
      </c>
      <c r="M109" s="542">
        <f t="shared" si="26"/>
        <v>100</v>
      </c>
      <c r="N109" s="1151"/>
      <c r="O109" s="1151"/>
      <c r="P109" s="44"/>
      <c r="Q109" s="502"/>
    </row>
    <row r="110" spans="1:17" ht="15.75" thickTop="1">
      <c r="A110" s="532"/>
      <c r="B110" s="544">
        <f>B35</f>
        <v>111</v>
      </c>
      <c r="C110" s="552"/>
      <c r="D110" s="552"/>
      <c r="E110" s="552"/>
      <c r="F110" s="552"/>
      <c r="G110" s="585"/>
      <c r="H110" s="585"/>
      <c r="I110" s="585"/>
      <c r="J110" s="585"/>
      <c r="K110" s="586"/>
      <c r="L110" s="587"/>
      <c r="M110" s="588"/>
      <c r="N110" s="1150"/>
      <c r="O110" s="1150"/>
      <c r="P110" s="44"/>
      <c r="Q110" s="502"/>
    </row>
    <row r="111" spans="1:17" ht="15.75" thickBot="1">
      <c r="A111" s="532"/>
      <c r="B111" s="567"/>
      <c r="C111" s="558"/>
      <c r="D111" s="558"/>
      <c r="E111" s="558"/>
      <c r="F111" s="558"/>
      <c r="G111" s="589"/>
      <c r="H111" s="589"/>
      <c r="I111" s="589"/>
      <c r="J111" s="589"/>
      <c r="K111" s="589"/>
      <c r="L111" s="589"/>
      <c r="M111" s="590"/>
      <c r="N111" s="1151"/>
      <c r="O111" s="1151"/>
      <c r="P111" s="44"/>
      <c r="Q111" s="502"/>
    </row>
    <row r="112" spans="1:17" ht="15" thickTop="1">
      <c r="A112" s="673"/>
      <c r="B112" s="536">
        <f>B36</f>
        <v>111</v>
      </c>
      <c r="C112" s="521"/>
      <c r="D112" s="521"/>
      <c r="E112" s="521"/>
      <c r="F112" s="521"/>
      <c r="G112" s="581"/>
      <c r="H112" s="581"/>
      <c r="I112" s="581"/>
      <c r="J112" s="581"/>
      <c r="K112" s="582"/>
      <c r="L112" s="583"/>
      <c r="M112" s="584"/>
      <c r="N112" s="1150"/>
      <c r="O112" s="1150"/>
      <c r="P112" s="44"/>
      <c r="Q112" s="502"/>
    </row>
    <row r="113" spans="1:17" ht="15.75" thickBot="1">
      <c r="A113" s="532"/>
      <c r="B113" s="541"/>
      <c r="C113" s="568"/>
      <c r="D113" s="568"/>
      <c r="E113" s="568"/>
      <c r="F113" s="568"/>
      <c r="G113" s="534"/>
      <c r="H113" s="534"/>
      <c r="I113" s="534"/>
      <c r="J113" s="534"/>
      <c r="K113" s="534"/>
      <c r="L113" s="534"/>
      <c r="M113" s="535"/>
      <c r="N113" s="1151"/>
      <c r="O113" s="1151"/>
      <c r="P113" s="44"/>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2563</v>
      </c>
      <c r="B116" s="526" t="s">
        <v>2790</v>
      </c>
      <c r="C116" s="527" t="str">
        <f>C117&amp;"(含)"&amp;"-"&amp;D117</f>
        <v>0(含)-25000</v>
      </c>
      <c r="D116" s="527" t="str">
        <f t="shared" ref="D116:M116" si="27">D117&amp;"(含)"&amp;"-"&amp;E117</f>
        <v>25000(含)-50000</v>
      </c>
      <c r="E116" s="527" t="str">
        <f t="shared" si="27"/>
        <v>50000(含)-75000</v>
      </c>
      <c r="F116" s="527" t="str">
        <f t="shared" si="27"/>
        <v>75000(含)-100000</v>
      </c>
      <c r="G116" s="527" t="str">
        <f t="shared" si="27"/>
        <v>100000(含)-125000</v>
      </c>
      <c r="H116" s="527" t="str">
        <f t="shared" si="27"/>
        <v>125000(含)-150000</v>
      </c>
      <c r="I116" s="527" t="str">
        <f t="shared" si="27"/>
        <v>150000(含)-175000</v>
      </c>
      <c r="J116" s="527" t="str">
        <f t="shared" si="27"/>
        <v>175000(含)-200000</v>
      </c>
      <c r="K116" s="527" t="str">
        <f t="shared" si="27"/>
        <v>200000(含)-</v>
      </c>
      <c r="L116" s="527" t="str">
        <f t="shared" si="27"/>
        <v>(含)-</v>
      </c>
      <c r="M116" s="527" t="str">
        <f t="shared" si="27"/>
        <v>(含)-</v>
      </c>
      <c r="N116" s="1150"/>
      <c r="O116" s="1150"/>
      <c r="P116" s="44"/>
      <c r="Q116" s="502"/>
    </row>
    <row r="117" spans="1:17" ht="15">
      <c r="A117" s="532"/>
      <c r="B117" s="544"/>
      <c r="C117" s="593">
        <v>0</v>
      </c>
      <c r="D117" s="593">
        <f>C117+25000</f>
        <v>25000</v>
      </c>
      <c r="E117" s="593">
        <f t="shared" ref="E117:K117" si="28">D117+25000</f>
        <v>50000</v>
      </c>
      <c r="F117" s="593">
        <f t="shared" si="28"/>
        <v>75000</v>
      </c>
      <c r="G117" s="593">
        <f t="shared" si="28"/>
        <v>100000</v>
      </c>
      <c r="H117" s="593">
        <f t="shared" si="28"/>
        <v>125000</v>
      </c>
      <c r="I117" s="593">
        <f t="shared" si="28"/>
        <v>150000</v>
      </c>
      <c r="J117" s="593">
        <f t="shared" si="28"/>
        <v>175000</v>
      </c>
      <c r="K117" s="593">
        <f t="shared" si="28"/>
        <v>200000</v>
      </c>
      <c r="L117" s="595"/>
      <c r="M117" s="596"/>
      <c r="N117" s="1150"/>
      <c r="O117" s="1150"/>
      <c r="P117" s="44"/>
      <c r="Q117" s="502"/>
    </row>
    <row r="118" spans="1:17" ht="15.75" thickBot="1">
      <c r="A118" s="532"/>
      <c r="B118" s="541"/>
      <c r="C118" s="568">
        <v>100</v>
      </c>
      <c r="D118" s="589">
        <f>C118+0.5</f>
        <v>100.5</v>
      </c>
      <c r="E118" s="589">
        <f t="shared" ref="E118:K118" si="29">D118+0.5</f>
        <v>101</v>
      </c>
      <c r="F118" s="589">
        <f t="shared" si="29"/>
        <v>101.5</v>
      </c>
      <c r="G118" s="589">
        <f t="shared" si="29"/>
        <v>102</v>
      </c>
      <c r="H118" s="589">
        <f t="shared" si="29"/>
        <v>102.5</v>
      </c>
      <c r="I118" s="589">
        <f t="shared" si="29"/>
        <v>103</v>
      </c>
      <c r="J118" s="589">
        <f t="shared" si="29"/>
        <v>103.5</v>
      </c>
      <c r="K118" s="589">
        <f t="shared" si="29"/>
        <v>104</v>
      </c>
      <c r="L118" s="589"/>
      <c r="M118" s="590"/>
      <c r="N118" s="1151"/>
      <c r="O118" s="1151"/>
      <c r="P118" s="44"/>
      <c r="Q118" s="502"/>
    </row>
    <row r="119" spans="1:17" ht="15" thickTop="1">
      <c r="A119" s="597"/>
      <c r="B119" s="536" t="s">
        <v>2791</v>
      </c>
      <c r="C119" s="2973" t="s">
        <v>3194</v>
      </c>
      <c r="D119" s="581"/>
      <c r="E119" s="581"/>
      <c r="F119" s="581"/>
      <c r="G119" s="581"/>
      <c r="H119" s="581"/>
      <c r="I119" s="581"/>
      <c r="J119" s="581"/>
      <c r="K119" s="582"/>
      <c r="L119" s="583"/>
      <c r="M119" s="584"/>
      <c r="N119" s="1150"/>
      <c r="O119" s="1150"/>
      <c r="P119" s="44"/>
      <c r="Q119" s="502"/>
    </row>
    <row r="120" spans="1:17" ht="15.75" thickBot="1">
      <c r="A120" s="532"/>
      <c r="B120" s="541"/>
      <c r="C120" s="542">
        <v>100</v>
      </c>
      <c r="D120" s="542">
        <f t="shared" ref="D120:M120" si="30">C120-$K39</f>
        <v>98</v>
      </c>
      <c r="E120" s="542">
        <f t="shared" si="30"/>
        <v>96</v>
      </c>
      <c r="F120" s="542">
        <f t="shared" si="30"/>
        <v>94</v>
      </c>
      <c r="G120" s="542">
        <f t="shared" si="30"/>
        <v>92</v>
      </c>
      <c r="H120" s="542">
        <f t="shared" si="30"/>
        <v>90</v>
      </c>
      <c r="I120" s="542">
        <f t="shared" si="30"/>
        <v>88</v>
      </c>
      <c r="J120" s="542">
        <f t="shared" si="30"/>
        <v>86</v>
      </c>
      <c r="K120" s="542">
        <f t="shared" si="30"/>
        <v>84</v>
      </c>
      <c r="L120" s="542">
        <f t="shared" si="30"/>
        <v>82</v>
      </c>
      <c r="M120" s="543">
        <f t="shared" si="30"/>
        <v>80</v>
      </c>
      <c r="N120" s="1151"/>
      <c r="O120" s="1151"/>
      <c r="P120" s="44"/>
      <c r="Q120" s="502"/>
    </row>
    <row r="121" spans="1:17" ht="15" thickTop="1">
      <c r="A121" s="597"/>
      <c r="B121" s="536" t="s">
        <v>2792</v>
      </c>
      <c r="C121" s="552"/>
      <c r="D121" s="552"/>
      <c r="E121" s="552"/>
      <c r="F121" s="581"/>
      <c r="G121" s="581"/>
      <c r="H121" s="581"/>
      <c r="I121" s="581"/>
      <c r="J121" s="581"/>
      <c r="K121" s="582"/>
      <c r="L121" s="583"/>
      <c r="M121" s="584"/>
      <c r="N121" s="1150"/>
      <c r="O121" s="1150"/>
      <c r="P121" s="44"/>
      <c r="Q121" s="502"/>
    </row>
    <row r="122" spans="1:17" ht="15.75" thickBot="1">
      <c r="A122" s="532"/>
      <c r="B122" s="541"/>
      <c r="C122" s="542">
        <v>100</v>
      </c>
      <c r="D122" s="542">
        <f t="shared" ref="D122:M122" si="31">C122-$K40</f>
        <v>100</v>
      </c>
      <c r="E122" s="542">
        <f t="shared" si="31"/>
        <v>100</v>
      </c>
      <c r="F122" s="542">
        <f t="shared" si="31"/>
        <v>100</v>
      </c>
      <c r="G122" s="542">
        <f t="shared" si="31"/>
        <v>100</v>
      </c>
      <c r="H122" s="542">
        <f t="shared" si="31"/>
        <v>100</v>
      </c>
      <c r="I122" s="542">
        <f t="shared" si="31"/>
        <v>100</v>
      </c>
      <c r="J122" s="542">
        <f t="shared" si="31"/>
        <v>100</v>
      </c>
      <c r="K122" s="542">
        <f t="shared" si="31"/>
        <v>100</v>
      </c>
      <c r="L122" s="542">
        <f t="shared" si="31"/>
        <v>100</v>
      </c>
      <c r="M122" s="543">
        <f t="shared" si="31"/>
        <v>100</v>
      </c>
      <c r="N122" s="1151"/>
      <c r="O122" s="1151"/>
      <c r="P122" s="44"/>
      <c r="Q122" s="502"/>
    </row>
    <row r="123" spans="1:17" s="469" customFormat="1" ht="15" thickTop="1">
      <c r="A123" s="591"/>
      <c r="B123" s="536" t="s">
        <v>2793</v>
      </c>
      <c r="C123" s="2970" t="s">
        <v>3195</v>
      </c>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98</v>
      </c>
      <c r="E124" s="542">
        <f t="shared" ref="E124:M124" si="32">D124-$K41</f>
        <v>96</v>
      </c>
      <c r="F124" s="542">
        <f t="shared" si="32"/>
        <v>94</v>
      </c>
      <c r="G124" s="542">
        <f t="shared" si="32"/>
        <v>92</v>
      </c>
      <c r="H124" s="542">
        <f t="shared" si="32"/>
        <v>90</v>
      </c>
      <c r="I124" s="542">
        <f t="shared" si="32"/>
        <v>88</v>
      </c>
      <c r="J124" s="542">
        <f t="shared" si="32"/>
        <v>86</v>
      </c>
      <c r="K124" s="542">
        <f t="shared" si="32"/>
        <v>84</v>
      </c>
      <c r="L124" s="542">
        <f t="shared" si="32"/>
        <v>82</v>
      </c>
      <c r="M124" s="543">
        <f t="shared" si="32"/>
        <v>80</v>
      </c>
      <c r="N124" s="1152"/>
      <c r="O124" s="1152"/>
      <c r="P124" s="556"/>
      <c r="Q124" s="557"/>
    </row>
    <row r="125" spans="1:17" ht="15" thickTop="1">
      <c r="A125" s="597"/>
      <c r="B125" s="536" t="s">
        <v>2794</v>
      </c>
      <c r="C125" s="2970" t="s">
        <v>3196</v>
      </c>
      <c r="D125" s="552"/>
      <c r="E125" s="581"/>
      <c r="F125" s="581"/>
      <c r="G125" s="581"/>
      <c r="H125" s="581"/>
      <c r="I125" s="581"/>
      <c r="J125" s="581"/>
      <c r="K125" s="582"/>
      <c r="L125" s="583"/>
      <c r="M125" s="584"/>
      <c r="N125" s="1150"/>
      <c r="O125" s="1150"/>
      <c r="P125" s="44"/>
      <c r="Q125" s="502"/>
    </row>
    <row r="126" spans="1:17" ht="15.75" thickBot="1">
      <c r="A126" s="532"/>
      <c r="B126" s="541"/>
      <c r="C126" s="542">
        <v>100</v>
      </c>
      <c r="D126" s="542">
        <f t="shared" ref="D126:M126" si="33">C126-$K42</f>
        <v>98</v>
      </c>
      <c r="E126" s="542">
        <f t="shared" si="33"/>
        <v>96</v>
      </c>
      <c r="F126" s="542">
        <f t="shared" si="33"/>
        <v>94</v>
      </c>
      <c r="G126" s="542">
        <f t="shared" si="33"/>
        <v>92</v>
      </c>
      <c r="H126" s="542">
        <f t="shared" si="33"/>
        <v>90</v>
      </c>
      <c r="I126" s="542">
        <f t="shared" si="33"/>
        <v>88</v>
      </c>
      <c r="J126" s="542">
        <f t="shared" si="33"/>
        <v>86</v>
      </c>
      <c r="K126" s="542">
        <f t="shared" si="33"/>
        <v>84</v>
      </c>
      <c r="L126" s="542">
        <f t="shared" si="33"/>
        <v>82</v>
      </c>
      <c r="M126" s="543">
        <f t="shared" si="33"/>
        <v>80</v>
      </c>
      <c r="N126" s="1151"/>
      <c r="O126" s="1151"/>
      <c r="P126" s="44"/>
      <c r="Q126" s="502"/>
    </row>
    <row r="127" spans="1:17" ht="15" thickTop="1">
      <c r="A127" s="597"/>
      <c r="B127" s="536">
        <f>B43</f>
        <v>111</v>
      </c>
      <c r="C127" s="552"/>
      <c r="D127" s="552"/>
      <c r="E127" s="552"/>
      <c r="F127" s="552"/>
      <c r="G127" s="552"/>
      <c r="H127" s="581"/>
      <c r="I127" s="581"/>
      <c r="J127" s="581"/>
      <c r="K127" s="582"/>
      <c r="L127" s="583"/>
      <c r="M127" s="584"/>
      <c r="N127" s="1150"/>
      <c r="O127" s="1150"/>
      <c r="P127" s="44"/>
      <c r="Q127" s="502"/>
    </row>
    <row r="128" spans="1:17" ht="15.75" thickBot="1">
      <c r="A128" s="532"/>
      <c r="B128" s="541"/>
      <c r="C128" s="558"/>
      <c r="D128" s="558"/>
      <c r="E128" s="558"/>
      <c r="F128" s="558"/>
      <c r="G128" s="534"/>
      <c r="H128" s="534"/>
      <c r="I128" s="534"/>
      <c r="J128" s="534"/>
      <c r="K128" s="534"/>
      <c r="L128" s="534"/>
      <c r="M128" s="535"/>
      <c r="N128" s="1151"/>
      <c r="O128" s="1151"/>
      <c r="P128" s="44"/>
      <c r="Q128" s="502"/>
    </row>
    <row r="129" spans="1:17" ht="15" thickTop="1">
      <c r="A129" s="597"/>
      <c r="B129" s="536">
        <f>B44</f>
        <v>111</v>
      </c>
      <c r="C129" s="521"/>
      <c r="D129" s="521"/>
      <c r="E129" s="521"/>
      <c r="F129" s="521"/>
      <c r="G129" s="581"/>
      <c r="H129" s="581"/>
      <c r="I129" s="581"/>
      <c r="J129" s="581"/>
      <c r="K129" s="582"/>
      <c r="L129" s="583"/>
      <c r="M129" s="584"/>
      <c r="N129" s="1150"/>
      <c r="O129" s="1150"/>
      <c r="P129" s="44"/>
      <c r="Q129" s="502"/>
    </row>
    <row r="130" spans="1:17" ht="15.75" thickBot="1">
      <c r="A130" s="532"/>
      <c r="B130" s="541"/>
      <c r="C130" s="568"/>
      <c r="D130" s="568"/>
      <c r="E130" s="568"/>
      <c r="F130" s="568"/>
      <c r="G130" s="534"/>
      <c r="H130" s="534"/>
      <c r="I130" s="534"/>
      <c r="J130" s="534"/>
      <c r="K130" s="534"/>
      <c r="L130" s="534"/>
      <c r="M130" s="535"/>
      <c r="N130" s="1151"/>
      <c r="O130" s="1151"/>
      <c r="P130" s="44"/>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5" sqref="H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2462</v>
      </c>
      <c r="B1" s="1579"/>
      <c r="C1" s="1580"/>
      <c r="D1" s="1578"/>
      <c r="E1" s="319"/>
      <c r="F1" s="319"/>
      <c r="G1" s="1579"/>
      <c r="H1" s="319"/>
      <c r="I1" s="319"/>
      <c r="J1" s="319"/>
      <c r="K1" s="319">
        <f>MATCH(C1,'数据-取费表'!A6:A16,0)+5</f>
        <v>8</v>
      </c>
    </row>
    <row r="2" spans="1:33" ht="18" customHeight="1">
      <c r="A2" s="244" t="s">
        <v>2330</v>
      </c>
      <c r="B2" s="247" t="e">
        <f ca="1">C32</f>
        <v>#N/A</v>
      </c>
      <c r="C2" s="319" t="s">
        <v>2463</v>
      </c>
      <c r="D2" s="319"/>
      <c r="E2" s="319"/>
      <c r="F2" s="319"/>
      <c r="G2" s="319"/>
      <c r="H2" s="319"/>
      <c r="I2" s="319"/>
      <c r="J2" s="319"/>
      <c r="K2" s="319"/>
    </row>
    <row r="3" spans="1:33" ht="18" customHeight="1" thickBot="1">
      <c r="A3" s="246" t="s">
        <v>2332</v>
      </c>
      <c r="B3" s="247" t="e">
        <f ca="1">ROUND(B2*10000/IF(C1="",'数据-汇总表'!E3,INDIRECT("'数据-取费表'!K"&amp;$K$1)),0)</f>
        <v>#N/A</v>
      </c>
      <c r="C3" s="319" t="s">
        <v>2464</v>
      </c>
      <c r="D3" s="319"/>
      <c r="E3" s="319"/>
      <c r="F3" s="319"/>
      <c r="G3" s="319"/>
      <c r="H3" s="319"/>
      <c r="I3" s="319"/>
      <c r="J3" s="319"/>
      <c r="K3" s="319"/>
    </row>
    <row r="4" spans="1:33" s="954" customFormat="1" ht="16.5" customHeight="1">
      <c r="A4" s="951" t="s">
        <v>2465</v>
      </c>
      <c r="B4" s="952"/>
      <c r="C4" s="994" t="e">
        <f ca="1">SUM(C8:K8)</f>
        <v>#N/A</v>
      </c>
      <c r="D4" s="952"/>
      <c r="E4" s="952"/>
      <c r="F4" s="952"/>
      <c r="G4" s="952"/>
      <c r="H4" s="952"/>
      <c r="I4" s="952"/>
      <c r="J4" s="952"/>
      <c r="K4" s="953"/>
    </row>
    <row r="5" spans="1:33" s="958" customFormat="1" ht="15">
      <c r="A5" s="955" t="s">
        <v>2466</v>
      </c>
      <c r="B5" s="956" t="s">
        <v>2467</v>
      </c>
      <c r="C5" s="2552" t="s">
        <v>3145</v>
      </c>
      <c r="D5" s="2552" t="s">
        <v>3146</v>
      </c>
      <c r="E5" s="2552" t="s">
        <v>3147</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f>'比较法-住宅'!C49</f>
        <v>12065</v>
      </c>
      <c r="D6" s="960">
        <f ca="1">'收益法-办公'!B3</f>
        <v>0</v>
      </c>
      <c r="E6" s="960">
        <f ca="1">'收益法-商业'!B3</f>
        <v>16081</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2471</v>
      </c>
      <c r="B8" s="176" t="s">
        <v>2472</v>
      </c>
      <c r="C8" s="995">
        <f>'比较法-住宅'!B2</f>
        <v>2599</v>
      </c>
      <c r="D8" s="995" t="e">
        <f ca="1">'收益法-办公'!B2</f>
        <v>#N/A</v>
      </c>
      <c r="E8" s="995">
        <f ca="1">'收益法-商业'!B2</f>
        <v>1709</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3">
        <f ca="1">ROUND(C11*F12,0)</f>
        <v>0</v>
      </c>
      <c r="D12" s="971"/>
      <c r="E12" s="374"/>
      <c r="F12" s="974">
        <f>'数据-取费表'!B33</f>
        <v>0.03</v>
      </c>
      <c r="G12" s="8" t="s">
        <v>2482</v>
      </c>
      <c r="H12" s="966"/>
      <c r="I12" s="966"/>
      <c r="J12" s="966"/>
      <c r="K12" s="967"/>
    </row>
    <row r="13" spans="1:33" s="973" customFormat="1" ht="13.5" customHeight="1">
      <c r="A13" s="969" t="s">
        <v>1336</v>
      </c>
      <c r="B13" s="970" t="s">
        <v>2483</v>
      </c>
      <c r="C13" s="23">
        <f ca="1">ROUND(IF(C1="",SUMIF('数据-取费表'!C:C,"住宅",'数据-取费表'!P:P)*F13,IF(INDIRECT("'数据-取费表'!c"&amp;$K$1)="住宅",INDIRECT("'数据-取费表'!P"&amp;$K$1)*F13,0)),0)</f>
        <v>0</v>
      </c>
      <c r="D13" s="1031"/>
      <c r="E13" s="374"/>
      <c r="F13" s="974">
        <f>'数据-取费表'!B34</f>
        <v>0.05</v>
      </c>
      <c r="G13" s="8" t="s">
        <v>2484</v>
      </c>
      <c r="H13" s="966"/>
      <c r="I13" s="966"/>
      <c r="J13" s="966"/>
      <c r="K13" s="967"/>
    </row>
    <row r="14" spans="1:33" s="975" customFormat="1" ht="13.5" customHeight="1">
      <c r="A14" s="969" t="s">
        <v>1337</v>
      </c>
      <c r="B14" s="970" t="s">
        <v>2485</v>
      </c>
      <c r="C14" s="23">
        <f ca="1">ROUND(D14*E14*F11/10000,0)</f>
        <v>0</v>
      </c>
      <c r="D14" s="1031">
        <f ca="1">IF(C1="",'数据-汇总表'!E3,INDIRECT("'数据-取费表'!K"&amp;$K$1)+INDIRECT("'数据-取费表'!S"&amp;$K$1))</f>
        <v>3217.2100000000009</v>
      </c>
      <c r="E14" s="23">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3">
        <f ca="1">ROUND(D17*E17/10000,0)</f>
        <v>0</v>
      </c>
      <c r="D17" s="1031">
        <f ca="1">D14</f>
        <v>3217.2100000000009</v>
      </c>
      <c r="E17" s="23">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3">
        <f ca="1">C19+C20-IF(C1="",'数据-取费表'!B29,IF(G18="已全部缴纳",C19+C20,H18))</f>
        <v>0</v>
      </c>
      <c r="D18" s="1031"/>
      <c r="E18" s="23"/>
      <c r="F18" s="974"/>
      <c r="G18" s="2554"/>
      <c r="H18" s="1575"/>
      <c r="I18" s="2555" t="s">
        <v>2493</v>
      </c>
      <c r="J18" s="977"/>
      <c r="K18" s="978"/>
    </row>
    <row r="19" spans="1:33" s="973" customFormat="1" ht="13.5" customHeight="1">
      <c r="A19" s="969" t="s">
        <v>805</v>
      </c>
      <c r="B19" s="970" t="s">
        <v>2494</v>
      </c>
      <c r="C19" s="23">
        <f ca="1">ROUND(D19*E19/10000,0)</f>
        <v>62</v>
      </c>
      <c r="D19" s="1031">
        <f ca="1">IF(C1="",'数据-汇总表'!E5,IF(INDIRECT("'数据-取费表'!c"&amp;$K$1)="住宅",INDIRECT("'数据-取费表'!k"&amp;$K$1),0))</f>
        <v>2154.4800000000009</v>
      </c>
      <c r="E19" s="23">
        <f>'数据-取费表'!B27</f>
        <v>290</v>
      </c>
      <c r="F19" s="974"/>
      <c r="G19" s="14"/>
      <c r="H19" s="1577"/>
      <c r="I19" s="979"/>
      <c r="J19" s="979"/>
      <c r="K19" s="980"/>
    </row>
    <row r="20" spans="1:33" s="973" customFormat="1" ht="13.5" customHeight="1">
      <c r="A20" s="969" t="s">
        <v>806</v>
      </c>
      <c r="B20" s="970" t="s">
        <v>2495</v>
      </c>
      <c r="C20" s="23">
        <f ca="1">ROUND(D20*E20/10000,0)</f>
        <v>31</v>
      </c>
      <c r="D20" s="1031">
        <f ca="1">IF(C1="",'数据-汇总表'!E6,IF(INDIRECT("'数据-取费表'!c"&amp;$K$1)="住宅",INDIRECT("'数据-取费表'!s"&amp;$K$1),INDIRECT("'数据-取费表'!k"&amp;$K$1)+INDIRECT("'数据-取费表'!s"&amp;$K$1)))</f>
        <v>1062.73</v>
      </c>
      <c r="E20" s="23">
        <f>'数据-取费表'!B28</f>
        <v>290</v>
      </c>
      <c r="F20" s="974"/>
      <c r="G20" s="14"/>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t="e">
        <f ca="1">ROUND(C4*F23*F11,0)</f>
        <v>#N/A</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t="e">
        <f ca="1">C27</f>
        <v>#N/A</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t="e">
        <f ca="1">ROUND(IF('数据-取费表'!B22&lt;=1,(C21+C22+C23)*F25*'数据-取费表'!B24/2,(C21+C22+C23)*(POWER((1+F25),'数据-取费表'!B24/2)-1)),0)</f>
        <v>#N/A</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2509</v>
      </c>
      <c r="B28" s="2557" t="s">
        <v>2510</v>
      </c>
      <c r="C28" s="330" t="e">
        <f ca="1">C30</f>
        <v>#N/A</v>
      </c>
      <c r="D28" s="323">
        <f ca="1">C29</f>
        <v>0</v>
      </c>
      <c r="E28" s="325" t="s">
        <v>15</v>
      </c>
      <c r="F28" s="331">
        <f ca="1">IF(C1="",'数据-取费表'!Q16,INDIRECT("'数据-取费表'!q"&amp;$K$1))</f>
        <v>0.18</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t="e">
        <f ca="1">ROUND((C21+C22+C23)*F28,0)</f>
        <v>#N/A</v>
      </c>
      <c r="D30" s="327"/>
      <c r="E30" s="328"/>
      <c r="F30" s="333"/>
      <c r="G30" s="139"/>
      <c r="H30" s="977"/>
      <c r="I30" s="977"/>
      <c r="J30" s="977"/>
      <c r="K30" s="978"/>
    </row>
    <row r="31" spans="1:33" s="973" customFormat="1" ht="13.5" customHeight="1" thickBot="1">
      <c r="A31" s="2558" t="s">
        <v>2514</v>
      </c>
      <c r="B31" s="1003" t="s">
        <v>2515</v>
      </c>
      <c r="C31" s="1004" t="e">
        <f ca="1">ROUND(C4*F31/(1+'数据-取费表'!C42),0)</f>
        <v>#N/A</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t="e">
        <f ca="1">ROUND((C4-C21-C22-C23-C25-C28-C31)/(1+C24+D25+D28),0)</f>
        <v>#N/A</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4" sqref="I3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0" t="s">
        <v>2529</v>
      </c>
      <c r="C1" s="1632" t="s">
        <v>2530</v>
      </c>
      <c r="D1" s="1619" t="s">
        <v>3101</v>
      </c>
      <c r="E1" s="2581"/>
      <c r="F1" s="2582" t="s">
        <v>2531</v>
      </c>
      <c r="G1" s="1629" t="s">
        <v>2532</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2599</v>
      </c>
      <c r="C2" s="2584" t="s">
        <v>70</v>
      </c>
      <c r="D2" s="1363" t="e">
        <f ca="1">SUMIF(INDIRECT("'"&amp;F2&amp;"'"&amp;"!A:A"),"承租人权益价值",INDIRECT("'"&amp;F2&amp;"'"&amp;"!c:c"))</f>
        <v>#REF!</v>
      </c>
      <c r="E2" s="2585" t="s">
        <v>2533</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f>IF(C2="——",C49,ROUND(B2*10000/D3,0))</f>
        <v>12065</v>
      </c>
      <c r="C3" s="399" t="s">
        <v>2534</v>
      </c>
      <c r="D3" s="398">
        <f>IF(D1="",'数据-汇总表'!E3,SUMIF('数据-汇总表'!$C19:$C33,D1,'数据-汇总表'!$E19:$E33))</f>
        <v>2154.4800000000009</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2535</v>
      </c>
      <c r="B4" s="401"/>
      <c r="C4" s="3223" t="s">
        <v>2536</v>
      </c>
      <c r="D4" s="3224"/>
      <c r="E4" s="3251" t="s">
        <v>2537</v>
      </c>
      <c r="F4" s="3252"/>
      <c r="G4" s="3223" t="s">
        <v>2538</v>
      </c>
      <c r="H4" s="3224"/>
      <c r="I4" s="3223" t="s">
        <v>2539</v>
      </c>
      <c r="J4" s="3224"/>
      <c r="K4" s="2594" t="s">
        <v>2540</v>
      </c>
      <c r="L4" s="1128"/>
      <c r="M4" s="1129"/>
      <c r="N4" s="1129"/>
      <c r="O4" s="1129"/>
      <c r="P4" s="3227" t="s">
        <v>2541</v>
      </c>
      <c r="Q4" s="3228"/>
      <c r="R4" s="3210" t="s">
        <v>2537</v>
      </c>
      <c r="S4" s="3211"/>
      <c r="T4" s="3210" t="s">
        <v>2538</v>
      </c>
      <c r="U4" s="3211"/>
      <c r="V4" s="3235" t="s">
        <v>2539</v>
      </c>
      <c r="W4" s="3235"/>
      <c r="X4" s="1811"/>
      <c r="Y4" s="3210" t="s">
        <v>2541</v>
      </c>
      <c r="Z4" s="3211"/>
      <c r="AA4" s="3205" t="s">
        <v>2537</v>
      </c>
      <c r="AB4" s="3205" t="s">
        <v>2538</v>
      </c>
      <c r="AC4" s="3205" t="s">
        <v>2539</v>
      </c>
    </row>
    <row r="5" spans="1:29" ht="15">
      <c r="A5" s="403"/>
      <c r="B5" s="404"/>
      <c r="C5" s="3216" t="s">
        <v>2542</v>
      </c>
      <c r="D5" s="3217"/>
      <c r="E5" s="3248" t="s">
        <v>3178</v>
      </c>
      <c r="F5" s="3215"/>
      <c r="G5" s="3253" t="s">
        <v>3158</v>
      </c>
      <c r="H5" s="3217"/>
      <c r="I5" s="3249" t="s">
        <v>3179</v>
      </c>
      <c r="J5" s="3250"/>
      <c r="K5" s="2595"/>
      <c r="L5" s="1128"/>
      <c r="M5" s="1129"/>
      <c r="N5" s="1129"/>
      <c r="O5" s="1129"/>
      <c r="P5" s="3229"/>
      <c r="Q5" s="3230"/>
      <c r="R5" s="3212"/>
      <c r="S5" s="3213"/>
      <c r="T5" s="3212"/>
      <c r="U5" s="3213"/>
      <c r="V5" s="3235"/>
      <c r="W5" s="3235"/>
      <c r="X5" s="1811"/>
      <c r="Y5" s="3212"/>
      <c r="Z5" s="3213"/>
      <c r="AA5" s="3206"/>
      <c r="AB5" s="3206"/>
      <c r="AC5" s="3206"/>
    </row>
    <row r="6" spans="1:29" ht="15.75" thickBot="1">
      <c r="A6" s="405"/>
      <c r="B6" s="406"/>
      <c r="C6" s="3218" t="s">
        <v>2546</v>
      </c>
      <c r="D6" s="3219"/>
      <c r="E6" s="3220"/>
      <c r="F6" s="3221"/>
      <c r="G6" s="3218"/>
      <c r="H6" s="3219"/>
      <c r="I6" s="3218"/>
      <c r="J6" s="3219"/>
      <c r="K6" s="2595" t="s">
        <v>2547</v>
      </c>
      <c r="L6" s="1128"/>
      <c r="M6" s="1129"/>
      <c r="N6" s="1129"/>
      <c r="O6" s="1129"/>
      <c r="P6" s="3231"/>
      <c r="Q6" s="3232"/>
      <c r="R6" s="3212"/>
      <c r="S6" s="3213"/>
      <c r="T6" s="3233"/>
      <c r="U6" s="3234"/>
      <c r="V6" s="3235"/>
      <c r="W6" s="3235"/>
      <c r="X6" s="1811"/>
      <c r="Y6" s="3233"/>
      <c r="Z6" s="3234"/>
      <c r="AA6" s="3207"/>
      <c r="AB6" s="3207"/>
      <c r="AC6" s="3207"/>
    </row>
    <row r="7" spans="1:29" s="116" customFormat="1" ht="15.75" thickBot="1">
      <c r="A7" s="407" t="s">
        <v>2548</v>
      </c>
      <c r="B7" s="408"/>
      <c r="C7" s="409">
        <f>'数据-取费表'!B2</f>
        <v>43185</v>
      </c>
      <c r="D7" s="410">
        <v>100</v>
      </c>
      <c r="E7" s="411">
        <v>43181</v>
      </c>
      <c r="F7" s="412">
        <f>SUMIF(58:58,YEAR(E7)&amp;"-"&amp;MONTH(E7),59:59)</f>
        <v>100</v>
      </c>
      <c r="G7" s="411">
        <v>43181</v>
      </c>
      <c r="H7" s="410">
        <f>SUMIF(58:58,YEAR(G7)&amp;"-"&amp;MONTH(G7),59:59)</f>
        <v>100</v>
      </c>
      <c r="I7" s="2974">
        <f>G7</f>
        <v>43181</v>
      </c>
      <c r="J7" s="410">
        <f>SUMIF(58:58,YEAR(I7)&amp;"-"&amp;MONTH(I7),59:59)</f>
        <v>100</v>
      </c>
      <c r="K7" s="2596"/>
      <c r="L7" s="1130"/>
      <c r="M7" s="1131"/>
      <c r="N7" s="1131"/>
      <c r="O7" s="1131"/>
      <c r="P7" s="3208" t="s">
        <v>2549</v>
      </c>
      <c r="Q7" s="3236"/>
      <c r="R7" s="768" t="s">
        <v>23</v>
      </c>
      <c r="S7" s="769">
        <f t="shared" ref="S7:S15" si="0">F7</f>
        <v>100</v>
      </c>
      <c r="T7" s="768" t="s">
        <v>23</v>
      </c>
      <c r="U7" s="769">
        <f t="shared" ref="U7:U15" si="1">H7</f>
        <v>100</v>
      </c>
      <c r="V7" s="768" t="s">
        <v>23</v>
      </c>
      <c r="W7" s="769">
        <f t="shared" ref="W7:W15" si="2">J7</f>
        <v>100</v>
      </c>
      <c r="X7" s="770"/>
      <c r="Y7" s="3208" t="s">
        <v>2549</v>
      </c>
      <c r="Z7" s="3209"/>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6"/>
      <c r="L8" s="1130"/>
      <c r="M8" s="1131"/>
      <c r="N8" s="1131"/>
      <c r="O8" s="1131"/>
      <c r="P8" s="3208" t="s">
        <v>2552</v>
      </c>
      <c r="Q8" s="3209"/>
      <c r="R8" s="768" t="s">
        <v>23</v>
      </c>
      <c r="S8" s="769">
        <f t="shared" si="0"/>
        <v>100</v>
      </c>
      <c r="T8" s="768" t="s">
        <v>23</v>
      </c>
      <c r="U8" s="769">
        <f t="shared" si="1"/>
        <v>100</v>
      </c>
      <c r="V8" s="768" t="s">
        <v>23</v>
      </c>
      <c r="W8" s="769">
        <f t="shared" si="2"/>
        <v>100</v>
      </c>
      <c r="X8" s="770"/>
      <c r="Y8" s="3208" t="s">
        <v>2552</v>
      </c>
      <c r="Z8" s="3209"/>
      <c r="AA8" s="771">
        <f t="shared" ref="AA8:AA19" si="3">D8/F8</f>
        <v>1</v>
      </c>
      <c r="AB8" s="771">
        <f t="shared" ref="AB8:AB19" si="4">D8/H8</f>
        <v>1</v>
      </c>
      <c r="AC8" s="771">
        <f t="shared" ref="AC8:AC19" si="5">D8/J8</f>
        <v>1</v>
      </c>
    </row>
    <row r="9" spans="1:29" s="116" customFormat="1">
      <c r="A9" s="414" t="s">
        <v>2553</v>
      </c>
      <c r="B9" s="70" t="s">
        <v>2554</v>
      </c>
      <c r="C9" s="2971" t="s">
        <v>3159</v>
      </c>
      <c r="D9" s="134">
        <v>100</v>
      </c>
      <c r="E9" s="416" t="s">
        <v>3101</v>
      </c>
      <c r="F9" s="417">
        <f>SUMIF(63:63,E9,64:64)-SUMIF(63:63,C9,64:64)+100</f>
        <v>100</v>
      </c>
      <c r="G9" s="416" t="s">
        <v>3101</v>
      </c>
      <c r="H9" s="134">
        <f>SUMIF(63:63,G9,64:64)-SUMIF(63:63,C9,64:64)+100</f>
        <v>100</v>
      </c>
      <c r="I9" s="416" t="s">
        <v>3101</v>
      </c>
      <c r="J9" s="134">
        <f>SUMIF(63:63,I9,64:64)-SUMIF(63:63,C9,64:64)+100</f>
        <v>100</v>
      </c>
      <c r="K9" s="2596"/>
      <c r="L9" s="1130"/>
      <c r="M9" s="1131"/>
      <c r="N9" s="1131"/>
      <c r="O9" s="1131"/>
      <c r="P9" s="3246"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771">
        <f t="shared" si="5"/>
        <v>1</v>
      </c>
    </row>
    <row r="10" spans="1:29" s="425" customFormat="1" ht="27">
      <c r="A10" s="419"/>
      <c r="B10" s="420" t="s">
        <v>2557</v>
      </c>
      <c r="C10" s="421" t="s">
        <v>3161</v>
      </c>
      <c r="D10" s="135">
        <v>100</v>
      </c>
      <c r="E10" s="421" t="s">
        <v>3161</v>
      </c>
      <c r="F10" s="423">
        <f>SUMIF(65:65,E10,66:66)-SUMIF(65:65,C10,66:66)+100</f>
        <v>100</v>
      </c>
      <c r="G10" s="421" t="s">
        <v>3161</v>
      </c>
      <c r="H10" s="135">
        <f>SUMIF(65:65,G10,66:66)-SUMIF(65:65,C10,66:66)+100</f>
        <v>100</v>
      </c>
      <c r="I10" s="421" t="s">
        <v>3161</v>
      </c>
      <c r="J10" s="135">
        <f>SUMIF(65:65,I10,66:66)-SUMIF(65:65,C10,66:66)+100</f>
        <v>100</v>
      </c>
      <c r="K10" s="424">
        <v>2</v>
      </c>
      <c r="L10" s="1133"/>
      <c r="M10" s="1134"/>
      <c r="N10" s="1134"/>
      <c r="O10" s="1134"/>
      <c r="P10" s="3246"/>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771">
        <f t="shared" si="5"/>
        <v>1</v>
      </c>
    </row>
    <row r="11" spans="1:29" ht="15.75" thickBot="1">
      <c r="A11" s="426"/>
      <c r="B11" s="420" t="s">
        <v>2558</v>
      </c>
      <c r="C11" s="3001">
        <f>'数据-汇总表'!I7</f>
        <v>3.57</v>
      </c>
      <c r="D11" s="135">
        <v>100</v>
      </c>
      <c r="E11" s="428">
        <v>3.02</v>
      </c>
      <c r="F11" s="423">
        <f>LOOKUP(E11,68:68,69:69)-LOOKUP(C11,68:68,69:69)+100</f>
        <v>100</v>
      </c>
      <c r="G11" s="427">
        <v>3.98</v>
      </c>
      <c r="H11" s="135">
        <f>LOOKUP(G11,68:68,69:69)-LOOKUP(C11,68:68,69:69)+100</f>
        <v>100</v>
      </c>
      <c r="I11" s="427">
        <v>3.82</v>
      </c>
      <c r="J11" s="135">
        <f>LOOKUP(I11,68:68,69:69)-LOOKUP(C11,68:68,69:69)+100</f>
        <v>100</v>
      </c>
      <c r="K11" s="424">
        <f>'土地比较法-住宅、综合'!K11</f>
        <v>3</v>
      </c>
      <c r="L11" s="1136"/>
      <c r="M11" s="1129"/>
      <c r="N11" s="1129"/>
      <c r="O11" s="1129"/>
      <c r="P11" s="3246"/>
      <c r="Q11" s="1793" t="str">
        <f t="shared" si="6"/>
        <v>容积率</v>
      </c>
      <c r="R11" s="768" t="s">
        <v>21</v>
      </c>
      <c r="S11" s="769">
        <f t="shared" si="0"/>
        <v>100</v>
      </c>
      <c r="T11" s="768" t="s">
        <v>21</v>
      </c>
      <c r="U11" s="769">
        <f t="shared" si="1"/>
        <v>100</v>
      </c>
      <c r="V11" s="768" t="s">
        <v>21</v>
      </c>
      <c r="W11" s="769">
        <f t="shared" si="2"/>
        <v>100</v>
      </c>
      <c r="X11" s="770"/>
      <c r="Y11" s="3077"/>
      <c r="Z11" s="54" t="str">
        <f t="shared" si="7"/>
        <v>容积率</v>
      </c>
      <c r="AA11" s="771">
        <f t="shared" si="3"/>
        <v>1</v>
      </c>
      <c r="AB11" s="771">
        <f t="shared" si="4"/>
        <v>1</v>
      </c>
      <c r="AC11" s="771">
        <f t="shared" si="5"/>
        <v>1</v>
      </c>
    </row>
    <row r="12" spans="1:29" s="116" customFormat="1" ht="15" hidden="1">
      <c r="A12" s="429"/>
      <c r="B12" s="2597">
        <v>111</v>
      </c>
      <c r="C12" s="430"/>
      <c r="D12" s="431">
        <v>100</v>
      </c>
      <c r="E12" s="430"/>
      <c r="F12" s="423">
        <f>SUMIF(70:70,E12,71:71)-SUMIF(70:70,C12,71:71)+100</f>
        <v>100</v>
      </c>
      <c r="G12" s="430"/>
      <c r="H12" s="135">
        <f>SUMIF(70:70,G12,71:71)-SUMIF(70:70,C12,71:71)+100</f>
        <v>100</v>
      </c>
      <c r="I12" s="430"/>
      <c r="J12" s="135">
        <f>SUMIF(70:70,I12,71:71)-SUMIF(70:70,C12,71:71)+100</f>
        <v>100</v>
      </c>
      <c r="K12" s="2598"/>
      <c r="L12" s="1130"/>
      <c r="M12" s="1131"/>
      <c r="N12" s="1131"/>
      <c r="O12" s="1131"/>
      <c r="P12" s="3246"/>
      <c r="Q12" s="1793">
        <f t="shared" si="6"/>
        <v>111</v>
      </c>
      <c r="R12" s="768" t="s">
        <v>21</v>
      </c>
      <c r="S12" s="769">
        <f t="shared" si="0"/>
        <v>100</v>
      </c>
      <c r="T12" s="768" t="s">
        <v>21</v>
      </c>
      <c r="U12" s="769">
        <f t="shared" si="1"/>
        <v>100</v>
      </c>
      <c r="V12" s="768" t="s">
        <v>21</v>
      </c>
      <c r="W12" s="769">
        <f t="shared" si="2"/>
        <v>100</v>
      </c>
      <c r="X12" s="770"/>
      <c r="Y12" s="3077"/>
      <c r="Z12" s="54">
        <f t="shared" si="7"/>
        <v>111</v>
      </c>
      <c r="AA12" s="771">
        <f>D12/F12</f>
        <v>1</v>
      </c>
      <c r="AB12" s="771">
        <f>D12/H12</f>
        <v>1</v>
      </c>
      <c r="AC12" s="771">
        <f>D12/J12</f>
        <v>1</v>
      </c>
    </row>
    <row r="13" spans="1:29" ht="15" hidden="1">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8"/>
      <c r="M13" s="1129"/>
      <c r="N13" s="1129"/>
      <c r="O13" s="1129"/>
      <c r="P13" s="3246"/>
      <c r="Q13" s="1793">
        <f t="shared" si="6"/>
        <v>111</v>
      </c>
      <c r="R13" s="768" t="s">
        <v>21</v>
      </c>
      <c r="S13" s="769">
        <f t="shared" si="0"/>
        <v>100</v>
      </c>
      <c r="T13" s="768" t="s">
        <v>21</v>
      </c>
      <c r="U13" s="769">
        <f t="shared" si="1"/>
        <v>100</v>
      </c>
      <c r="V13" s="768" t="s">
        <v>21</v>
      </c>
      <c r="W13" s="769">
        <f t="shared" si="2"/>
        <v>100</v>
      </c>
      <c r="X13" s="770"/>
      <c r="Y13" s="3077"/>
      <c r="Z13" s="54">
        <f t="shared" si="7"/>
        <v>111</v>
      </c>
      <c r="AA13" s="771">
        <f t="shared" si="3"/>
        <v>1</v>
      </c>
      <c r="AB13" s="771">
        <f t="shared" si="4"/>
        <v>1</v>
      </c>
      <c r="AC13" s="771">
        <f t="shared" si="5"/>
        <v>1</v>
      </c>
    </row>
    <row r="14" spans="1:29" ht="15.75" hidden="1"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8"/>
      <c r="M14" s="1129"/>
      <c r="N14" s="1129"/>
      <c r="O14" s="1129"/>
      <c r="P14" s="3246"/>
      <c r="Q14" s="1793">
        <f t="shared" si="6"/>
        <v>111</v>
      </c>
      <c r="R14" s="768" t="s">
        <v>21</v>
      </c>
      <c r="S14" s="769">
        <f t="shared" si="0"/>
        <v>100</v>
      </c>
      <c r="T14" s="768" t="s">
        <v>21</v>
      </c>
      <c r="U14" s="769">
        <f t="shared" si="1"/>
        <v>100</v>
      </c>
      <c r="V14" s="768" t="s">
        <v>21</v>
      </c>
      <c r="W14" s="769">
        <f t="shared" si="2"/>
        <v>100</v>
      </c>
      <c r="X14" s="770"/>
      <c r="Y14" s="3077"/>
      <c r="Z14" s="54">
        <f t="shared" si="7"/>
        <v>111</v>
      </c>
      <c r="AA14" s="771">
        <f t="shared" si="3"/>
        <v>1</v>
      </c>
      <c r="AB14" s="771">
        <f t="shared" si="4"/>
        <v>1</v>
      </c>
      <c r="AC14" s="771">
        <f t="shared" si="5"/>
        <v>1</v>
      </c>
    </row>
    <row r="15" spans="1:29" ht="99.75">
      <c r="A15" s="438" t="s">
        <v>2559</v>
      </c>
      <c r="B15" s="68" t="s">
        <v>2086</v>
      </c>
      <c r="C15" s="2600" t="str">
        <f>估价对象房地状况!C3</f>
        <v>估价对象周边居住用地比例、居住小区规模和社区发展完善程度，综合评价居住社区成熟度一般</v>
      </c>
      <c r="D15" s="439">
        <v>100</v>
      </c>
      <c r="E15" s="442"/>
      <c r="F15" s="439">
        <f>SUMIF(76:76,E16,77:77)-SUMIF(76:76,C16,77:77)+100</f>
        <v>98</v>
      </c>
      <c r="G15" s="440"/>
      <c r="H15" s="439">
        <f>SUMIF(76:76,G16,77:77)-SUMIF(76:76,C16,77:77)+100</f>
        <v>98</v>
      </c>
      <c r="I15" s="440"/>
      <c r="J15" s="439">
        <f>SUMIF(76:76,I16,77:77)-SUMIF(76:76,C16,77:77)+100</f>
        <v>100</v>
      </c>
      <c r="K15" s="3010">
        <v>2</v>
      </c>
      <c r="L15" s="1138"/>
      <c r="M15" s="1129"/>
      <c r="N15" s="1129"/>
      <c r="O15" s="1129"/>
      <c r="P15" s="3260" t="s">
        <v>2560</v>
      </c>
      <c r="Q15" s="1808" t="str">
        <f t="shared" si="6"/>
        <v>居住社区成熟度</v>
      </c>
      <c r="R15" s="772" t="s">
        <v>21</v>
      </c>
      <c r="S15" s="773">
        <f t="shared" si="0"/>
        <v>98</v>
      </c>
      <c r="T15" s="772" t="s">
        <v>21</v>
      </c>
      <c r="U15" s="773">
        <f t="shared" si="1"/>
        <v>98</v>
      </c>
      <c r="V15" s="772" t="s">
        <v>21</v>
      </c>
      <c r="W15" s="773">
        <f t="shared" si="2"/>
        <v>100</v>
      </c>
      <c r="X15" s="1811"/>
      <c r="Y15" s="3237" t="s">
        <v>2560</v>
      </c>
      <c r="Z15" s="1812" t="str">
        <f t="shared" si="7"/>
        <v>居住社区成熟度</v>
      </c>
      <c r="AA15" s="1809">
        <f t="shared" si="3"/>
        <v>1.0204081632653061</v>
      </c>
      <c r="AB15" s="1809">
        <f t="shared" si="4"/>
        <v>1.0204081632653061</v>
      </c>
      <c r="AC15" s="1809">
        <f t="shared" si="5"/>
        <v>1</v>
      </c>
    </row>
    <row r="16" spans="1:29" ht="15">
      <c r="A16" s="426"/>
      <c r="B16" s="444"/>
      <c r="C16" s="445" t="s">
        <v>3155</v>
      </c>
      <c r="D16" s="446"/>
      <c r="E16" s="2601" t="s">
        <v>3156</v>
      </c>
      <c r="F16" s="446"/>
      <c r="G16" s="2602" t="s">
        <v>3156</v>
      </c>
      <c r="H16" s="448"/>
      <c r="I16" s="445" t="s">
        <v>3155</v>
      </c>
      <c r="J16" s="446"/>
      <c r="K16" s="2603"/>
      <c r="L16" s="1138"/>
      <c r="M16" s="1129"/>
      <c r="N16" s="1129"/>
      <c r="O16" s="1129"/>
      <c r="P16" s="3261"/>
      <c r="Q16" s="1808"/>
      <c r="R16" s="772"/>
      <c r="S16" s="773"/>
      <c r="T16" s="772"/>
      <c r="U16" s="773"/>
      <c r="V16" s="772"/>
      <c r="W16" s="773"/>
      <c r="X16" s="1811"/>
      <c r="Y16" s="3238"/>
      <c r="Z16" s="1812"/>
      <c r="AA16" s="1809">
        <v>1</v>
      </c>
      <c r="AB16" s="1809">
        <v>1</v>
      </c>
      <c r="AC16" s="1809">
        <v>1</v>
      </c>
    </row>
    <row r="17" spans="1:29" ht="85.5">
      <c r="A17" s="426"/>
      <c r="B17" s="449" t="s">
        <v>2098</v>
      </c>
      <c r="C17" s="2604" t="str">
        <f>估价对象房地状况!C6</f>
        <v>估价对象周边道路状况、公共交通通达情况、停车便捷程度，综合评价交通便捷度较好</v>
      </c>
      <c r="D17" s="448">
        <v>100</v>
      </c>
      <c r="E17" s="452"/>
      <c r="F17" s="448">
        <f>SUMIF(78:78,E18,79:79)-SUMIF(78:78,C18,79:79)+100</f>
        <v>95</v>
      </c>
      <c r="G17" s="450"/>
      <c r="H17" s="453">
        <f>SUMIF(78:78,G18,79:79)-SUMIF(78:78,C18,79:79)+100</f>
        <v>95</v>
      </c>
      <c r="I17" s="2977" t="s">
        <v>3181</v>
      </c>
      <c r="J17" s="453">
        <f>SUMIF(78:78,I18,79:79)-SUMIF(78:78,C18,79:79)+100</f>
        <v>100</v>
      </c>
      <c r="K17" s="443">
        <f>'土地比较法-住宅、综合'!K21</f>
        <v>5</v>
      </c>
      <c r="L17" s="1138"/>
      <c r="M17" s="1129"/>
      <c r="N17" s="1129"/>
      <c r="O17" s="1129"/>
      <c r="P17" s="3261"/>
      <c r="Q17" s="1808" t="str">
        <f>B17</f>
        <v>交通便捷度</v>
      </c>
      <c r="R17" s="772" t="s">
        <v>21</v>
      </c>
      <c r="S17" s="773">
        <f>F17</f>
        <v>95</v>
      </c>
      <c r="T17" s="772" t="s">
        <v>21</v>
      </c>
      <c r="U17" s="773">
        <f>H17</f>
        <v>95</v>
      </c>
      <c r="V17" s="772" t="s">
        <v>21</v>
      </c>
      <c r="W17" s="773">
        <f>J17</f>
        <v>100</v>
      </c>
      <c r="X17" s="1811"/>
      <c r="Y17" s="3238"/>
      <c r="Z17" s="1812" t="str">
        <f>Q17</f>
        <v>交通便捷度</v>
      </c>
      <c r="AA17" s="1809">
        <f t="shared" si="3"/>
        <v>1.0526315789473684</v>
      </c>
      <c r="AB17" s="1809">
        <f t="shared" si="4"/>
        <v>1.0526315789473684</v>
      </c>
      <c r="AC17" s="1809">
        <f t="shared" si="5"/>
        <v>1</v>
      </c>
    </row>
    <row r="18" spans="1:29" ht="15">
      <c r="A18" s="426"/>
      <c r="B18" s="454"/>
      <c r="C18" s="2605" t="s">
        <v>3155</v>
      </c>
      <c r="D18" s="448"/>
      <c r="E18" s="2606" t="s">
        <v>3156</v>
      </c>
      <c r="F18" s="448"/>
      <c r="G18" s="2607" t="s">
        <v>3156</v>
      </c>
      <c r="H18" s="446"/>
      <c r="I18" s="2607" t="s">
        <v>3155</v>
      </c>
      <c r="J18" s="446"/>
      <c r="K18" s="2603"/>
      <c r="L18" s="1138"/>
      <c r="M18" s="1129"/>
      <c r="N18" s="1129"/>
      <c r="O18" s="1129"/>
      <c r="P18" s="3261"/>
      <c r="Q18" s="1808"/>
      <c r="R18" s="772"/>
      <c r="S18" s="773"/>
      <c r="T18" s="772"/>
      <c r="U18" s="773"/>
      <c r="V18" s="772"/>
      <c r="W18" s="773"/>
      <c r="X18" s="1811"/>
      <c r="Y18" s="3238"/>
      <c r="Z18" s="1812"/>
      <c r="AA18" s="1809">
        <v>1</v>
      </c>
      <c r="AB18" s="1809">
        <v>1</v>
      </c>
      <c r="AC18" s="1809">
        <v>1</v>
      </c>
    </row>
    <row r="19" spans="1:29" ht="42.75">
      <c r="A19" s="426"/>
      <c r="B19" s="449" t="s">
        <v>2096</v>
      </c>
      <c r="C19" s="2604" t="str">
        <f>估价对象房地状况!C7</f>
        <v>估价对象所在区域公共配套设施齐备情况</v>
      </c>
      <c r="D19" s="453">
        <v>100</v>
      </c>
      <c r="E19" s="457"/>
      <c r="F19" s="453">
        <f>SUMIF(80:80,E20,81:81)-SUMIF(80:80,C20,81:81)+100</f>
        <v>95</v>
      </c>
      <c r="G19" s="455"/>
      <c r="H19" s="448">
        <f>SUMIF(80:80,G20,81:81)-SUMIF(80:80,C20,81:81)+100</f>
        <v>100</v>
      </c>
      <c r="I19" s="455"/>
      <c r="J19" s="448">
        <f>SUMIF(80:80,I20,81:81)-SUMIF(80:80,C20,81:81)+100</f>
        <v>100</v>
      </c>
      <c r="K19" s="443">
        <f>'土地比较法-住宅、综合'!K27</f>
        <v>5</v>
      </c>
      <c r="L19" s="1138"/>
      <c r="M19" s="1129"/>
      <c r="N19" s="1129"/>
      <c r="O19" s="1129"/>
      <c r="P19" s="3261"/>
      <c r="Q19" s="1808" t="str">
        <f>B19</f>
        <v>公共配套设施</v>
      </c>
      <c r="R19" s="772" t="s">
        <v>21</v>
      </c>
      <c r="S19" s="773">
        <f>F19</f>
        <v>95</v>
      </c>
      <c r="T19" s="772" t="s">
        <v>21</v>
      </c>
      <c r="U19" s="773">
        <f>H19</f>
        <v>100</v>
      </c>
      <c r="V19" s="772" t="s">
        <v>21</v>
      </c>
      <c r="W19" s="773">
        <f>J19</f>
        <v>100</v>
      </c>
      <c r="X19" s="1811"/>
      <c r="Y19" s="3238"/>
      <c r="Z19" s="1812" t="str">
        <f>Q19</f>
        <v>公共配套设施</v>
      </c>
      <c r="AA19" s="1809">
        <f t="shared" si="3"/>
        <v>1.0526315789473684</v>
      </c>
      <c r="AB19" s="1809">
        <f t="shared" si="4"/>
        <v>1</v>
      </c>
      <c r="AC19" s="1809">
        <f t="shared" si="5"/>
        <v>1</v>
      </c>
    </row>
    <row r="20" spans="1:29" ht="15">
      <c r="A20" s="426"/>
      <c r="B20" s="454"/>
      <c r="C20" s="445" t="s">
        <v>3155</v>
      </c>
      <c r="D20" s="446"/>
      <c r="E20" s="2601" t="s">
        <v>3156</v>
      </c>
      <c r="F20" s="446"/>
      <c r="G20" s="2602" t="s">
        <v>3155</v>
      </c>
      <c r="H20" s="446"/>
      <c r="I20" s="2602" t="s">
        <v>3155</v>
      </c>
      <c r="J20" s="446"/>
      <c r="K20" s="2603"/>
      <c r="L20" s="1138"/>
      <c r="M20" s="1129"/>
      <c r="N20" s="1129"/>
      <c r="O20" s="1129"/>
      <c r="P20" s="3261"/>
      <c r="Q20" s="1808"/>
      <c r="R20" s="772"/>
      <c r="S20" s="773"/>
      <c r="T20" s="772"/>
      <c r="U20" s="773"/>
      <c r="V20" s="772"/>
      <c r="W20" s="773"/>
      <c r="X20" s="1811"/>
      <c r="Y20" s="3238"/>
      <c r="Z20" s="1812"/>
      <c r="AA20" s="1809">
        <v>1</v>
      </c>
      <c r="AB20" s="1809">
        <v>1</v>
      </c>
      <c r="AC20" s="1809">
        <v>1</v>
      </c>
    </row>
    <row r="21" spans="1:29" ht="28.5">
      <c r="A21" s="426"/>
      <c r="B21" s="1382" t="s">
        <v>2099</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3</v>
      </c>
      <c r="L21" s="1138"/>
      <c r="M21" s="1129"/>
      <c r="N21" s="1129"/>
      <c r="O21" s="1129"/>
      <c r="P21" s="3261"/>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6"/>
      <c r="B22" s="1382"/>
      <c r="C22" s="2605" t="s">
        <v>3157</v>
      </c>
      <c r="D22" s="446"/>
      <c r="E22" s="2605" t="s">
        <v>3157</v>
      </c>
      <c r="F22" s="446"/>
      <c r="G22" s="2605" t="s">
        <v>3157</v>
      </c>
      <c r="H22" s="446"/>
      <c r="I22" s="2605" t="s">
        <v>3157</v>
      </c>
      <c r="J22" s="446"/>
      <c r="K22" s="2609"/>
      <c r="L22" s="1138"/>
      <c r="M22" s="1129"/>
      <c r="N22" s="1129"/>
      <c r="O22" s="1129"/>
      <c r="P22" s="3261"/>
      <c r="Q22" s="1808"/>
      <c r="R22" s="772"/>
      <c r="S22" s="773"/>
      <c r="T22" s="772"/>
      <c r="U22" s="773"/>
      <c r="V22" s="772"/>
      <c r="W22" s="773"/>
      <c r="X22" s="1811"/>
      <c r="Y22" s="3238"/>
      <c r="Z22" s="1812"/>
      <c r="AA22" s="1809">
        <v>1</v>
      </c>
      <c r="AB22" s="1809">
        <v>1</v>
      </c>
      <c r="AC22" s="1809">
        <v>1</v>
      </c>
    </row>
    <row r="23" spans="1:29" ht="57">
      <c r="A23" s="426"/>
      <c r="B23" s="449" t="s">
        <v>2103</v>
      </c>
      <c r="C23" s="2604" t="str">
        <f>估价对象房地状况!C9</f>
        <v>区域自然环境：；人文环境；综合评价环境状况一般</v>
      </c>
      <c r="D23" s="448">
        <v>100</v>
      </c>
      <c r="E23" s="452"/>
      <c r="F23" s="448">
        <f>SUMIF(84:84,E24,85:85)-SUMIF(84:84,C24,85:85)+100</f>
        <v>120</v>
      </c>
      <c r="G23" s="450"/>
      <c r="H23" s="448">
        <f>SUMIF(84:84,G24,85:85)-SUMIF(84:84,C24,85:85)+100</f>
        <v>120</v>
      </c>
      <c r="I23" s="450"/>
      <c r="J23" s="448">
        <f>SUMIF(84:84,I24,85:85)-SUMIF(84:84,C24,85:85)+100</f>
        <v>100</v>
      </c>
      <c r="K23" s="443">
        <v>10</v>
      </c>
      <c r="L23" s="1138"/>
      <c r="M23" s="1129"/>
      <c r="N23" s="1129"/>
      <c r="O23" s="1129"/>
      <c r="P23" s="3261"/>
      <c r="Q23" s="1808" t="str">
        <f>B23</f>
        <v>自然及人文环境</v>
      </c>
      <c r="R23" s="772" t="s">
        <v>21</v>
      </c>
      <c r="S23" s="773">
        <f>F23</f>
        <v>120</v>
      </c>
      <c r="T23" s="772" t="s">
        <v>21</v>
      </c>
      <c r="U23" s="773">
        <f>H23</f>
        <v>120</v>
      </c>
      <c r="V23" s="772" t="s">
        <v>21</v>
      </c>
      <c r="W23" s="773">
        <f>J23</f>
        <v>100</v>
      </c>
      <c r="X23" s="1811"/>
      <c r="Y23" s="3238"/>
      <c r="Z23" s="1812" t="str">
        <f>Q23</f>
        <v>自然及人文环境</v>
      </c>
      <c r="AA23" s="1809">
        <f>D23/F23</f>
        <v>0.83333333333333337</v>
      </c>
      <c r="AB23" s="1809">
        <f>D23/H23</f>
        <v>0.83333333333333337</v>
      </c>
      <c r="AC23" s="1809">
        <f>D23/J23</f>
        <v>1</v>
      </c>
    </row>
    <row r="24" spans="1:29" ht="15.75" thickBot="1">
      <c r="A24" s="426"/>
      <c r="B24" s="454"/>
      <c r="C24" s="445" t="s">
        <v>3156</v>
      </c>
      <c r="D24" s="446"/>
      <c r="E24" s="2601" t="s">
        <v>3180</v>
      </c>
      <c r="F24" s="446"/>
      <c r="G24" s="2602" t="s">
        <v>3180</v>
      </c>
      <c r="H24" s="446"/>
      <c r="I24" s="2602" t="s">
        <v>3156</v>
      </c>
      <c r="J24" s="446"/>
      <c r="K24" s="2603"/>
      <c r="L24" s="1138"/>
      <c r="M24" s="1129"/>
      <c r="N24" s="1129"/>
      <c r="O24" s="1129"/>
      <c r="P24" s="3261"/>
      <c r="Q24" s="1808"/>
      <c r="R24" s="772"/>
      <c r="S24" s="773"/>
      <c r="T24" s="772"/>
      <c r="U24" s="773"/>
      <c r="V24" s="772"/>
      <c r="W24" s="773"/>
      <c r="X24" s="1811"/>
      <c r="Y24" s="3238"/>
      <c r="Z24" s="1812"/>
      <c r="AA24" s="1809">
        <v>1</v>
      </c>
      <c r="AB24" s="1809">
        <v>1</v>
      </c>
      <c r="AC24" s="1809">
        <v>1</v>
      </c>
    </row>
    <row r="25" spans="1:29" ht="15" hidden="1">
      <c r="A25" s="426"/>
      <c r="B25" s="420" t="s">
        <v>2561</v>
      </c>
      <c r="C25" s="458"/>
      <c r="D25" s="433">
        <v>100</v>
      </c>
      <c r="E25" s="2610"/>
      <c r="F25" s="433">
        <f>SUMIF(86:86,E25,87:87)-SUMIF(86:86,C25,87:87)+100</f>
        <v>100</v>
      </c>
      <c r="G25" s="2611"/>
      <c r="H25" s="433">
        <f>SUMIF(86:86,G25,87:87)-SUMIF(86:86,C25,87:87)+100</f>
        <v>100</v>
      </c>
      <c r="I25" s="2611"/>
      <c r="J25" s="433">
        <f>SUMIF(86:86,I25,87:87)-SUMIF(86:86,C25,87:87)+100</f>
        <v>100</v>
      </c>
      <c r="K25" s="424"/>
      <c r="L25" s="1138"/>
      <c r="M25" s="1129"/>
      <c r="N25" s="1129"/>
      <c r="O25" s="1129"/>
      <c r="P25" s="326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8"/>
      <c r="Z25" s="1812" t="str">
        <f>Q25</f>
        <v>楼层-1</v>
      </c>
      <c r="AA25" s="1809">
        <f t="shared" ref="AA25:AA46" si="15">D25/F25</f>
        <v>1</v>
      </c>
      <c r="AB25" s="1809">
        <f t="shared" ref="AB25:AB46" si="16">D25/H25</f>
        <v>1</v>
      </c>
      <c r="AC25" s="1809">
        <f t="shared" ref="AC25:AC46" si="17">D25/J25</f>
        <v>1</v>
      </c>
    </row>
    <row r="26" spans="1:29" ht="15" hidden="1">
      <c r="A26" s="426"/>
      <c r="B26" s="420" t="s">
        <v>2562</v>
      </c>
      <c r="C26" s="458"/>
      <c r="D26" s="433">
        <v>100</v>
      </c>
      <c r="E26" s="2610"/>
      <c r="F26" s="433">
        <f>SUMIF(88:88,E26,89:89)-SUMIF(88:88,C26,89:89)+100</f>
        <v>100</v>
      </c>
      <c r="G26" s="2611"/>
      <c r="H26" s="433">
        <f>SUMIF(88:88,G26,89:89)-SUMIF(88:88,C26,89:89)+100</f>
        <v>100</v>
      </c>
      <c r="I26" s="2611"/>
      <c r="J26" s="433">
        <f>SUMIF(88:88,I26,89:89)-SUMIF(88:88,C26,89:89)+100</f>
        <v>100</v>
      </c>
      <c r="K26" s="424"/>
      <c r="L26" s="1138"/>
      <c r="M26" s="1129"/>
      <c r="N26" s="1129"/>
      <c r="O26" s="1129"/>
      <c r="P26" s="3261"/>
      <c r="Q26" s="1808" t="str">
        <f t="shared" si="11"/>
        <v>朝向</v>
      </c>
      <c r="R26" s="772" t="s">
        <v>21</v>
      </c>
      <c r="S26" s="773">
        <f t="shared" si="12"/>
        <v>100</v>
      </c>
      <c r="T26" s="772" t="s">
        <v>21</v>
      </c>
      <c r="U26" s="773">
        <f t="shared" si="13"/>
        <v>100</v>
      </c>
      <c r="V26" s="772" t="s">
        <v>21</v>
      </c>
      <c r="W26" s="773">
        <f t="shared" si="14"/>
        <v>100</v>
      </c>
      <c r="X26" s="1811"/>
      <c r="Y26" s="3238"/>
      <c r="Z26" s="1812" t="str">
        <f>Q26</f>
        <v>朝向</v>
      </c>
      <c r="AA26" s="1809">
        <f t="shared" si="15"/>
        <v>1</v>
      </c>
      <c r="AB26" s="1809">
        <f t="shared" si="16"/>
        <v>1</v>
      </c>
      <c r="AC26" s="1809">
        <f t="shared" si="17"/>
        <v>1</v>
      </c>
    </row>
    <row r="27" spans="1:29" s="116" customFormat="1" ht="15" hidden="1">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8"/>
      <c r="L27" s="1130"/>
      <c r="M27" s="1131"/>
      <c r="N27" s="1131"/>
      <c r="O27" s="1131"/>
      <c r="P27" s="3261"/>
      <c r="Q27" s="1793">
        <f t="shared" si="11"/>
        <v>111</v>
      </c>
      <c r="R27" s="768" t="s">
        <v>21</v>
      </c>
      <c r="S27" s="769">
        <f t="shared" si="12"/>
        <v>100</v>
      </c>
      <c r="T27" s="768" t="s">
        <v>21</v>
      </c>
      <c r="U27" s="769">
        <f t="shared" si="13"/>
        <v>100</v>
      </c>
      <c r="V27" s="768" t="s">
        <v>21</v>
      </c>
      <c r="W27" s="769">
        <f t="shared" si="14"/>
        <v>100</v>
      </c>
      <c r="X27" s="770"/>
      <c r="Y27" s="3238"/>
      <c r="Z27" s="54">
        <f>Q27</f>
        <v>111</v>
      </c>
      <c r="AA27" s="1809">
        <f t="shared" si="15"/>
        <v>1</v>
      </c>
      <c r="AB27" s="1809">
        <f t="shared" si="16"/>
        <v>1</v>
      </c>
      <c r="AC27" s="1809">
        <f t="shared" si="17"/>
        <v>1</v>
      </c>
    </row>
    <row r="28" spans="1:29" ht="15" hidden="1">
      <c r="A28" s="426"/>
      <c r="B28" s="1384">
        <v>111</v>
      </c>
      <c r="C28" s="432"/>
      <c r="D28" s="433">
        <v>100</v>
      </c>
      <c r="E28" s="432"/>
      <c r="F28" s="433">
        <f>SUMIF(92:92,E28,93:93)-SUMIF(92:92,C28,93:93)+100</f>
        <v>100</v>
      </c>
      <c r="G28" s="2612"/>
      <c r="H28" s="433">
        <f>SUMIF(92:92,G28,93:93)-SUMIF(92:92,C28,93:93)+100</f>
        <v>100</v>
      </c>
      <c r="I28" s="432"/>
      <c r="J28" s="433">
        <f>SUMIF(92:92,I28,93:93)-SUMIF(92:92,C28,93:93)+100</f>
        <v>100</v>
      </c>
      <c r="K28" s="2598"/>
      <c r="L28" s="1138"/>
      <c r="M28" s="1129"/>
      <c r="N28" s="1129"/>
      <c r="O28" s="1129"/>
      <c r="P28" s="3261"/>
      <c r="Q28" s="1808">
        <f t="shared" si="11"/>
        <v>111</v>
      </c>
      <c r="R28" s="772" t="s">
        <v>21</v>
      </c>
      <c r="S28" s="773">
        <f t="shared" si="12"/>
        <v>100</v>
      </c>
      <c r="T28" s="772" t="s">
        <v>21</v>
      </c>
      <c r="U28" s="773">
        <f t="shared" si="13"/>
        <v>100</v>
      </c>
      <c r="V28" s="772" t="s">
        <v>21</v>
      </c>
      <c r="W28" s="773">
        <f t="shared" si="14"/>
        <v>100</v>
      </c>
      <c r="X28" s="1811"/>
      <c r="Y28" s="3238"/>
      <c r="Z28" s="1812">
        <f t="shared" ref="Z28:Z46" si="18">Q28</f>
        <v>111</v>
      </c>
      <c r="AA28" s="1809">
        <f t="shared" si="15"/>
        <v>1</v>
      </c>
      <c r="AB28" s="1809">
        <f t="shared" si="16"/>
        <v>1</v>
      </c>
      <c r="AC28" s="1809">
        <f t="shared" si="17"/>
        <v>1</v>
      </c>
    </row>
    <row r="29" spans="1:29" ht="15" hidden="1">
      <c r="A29" s="426"/>
      <c r="B29" s="1384">
        <v>111</v>
      </c>
      <c r="C29" s="432"/>
      <c r="D29" s="433">
        <v>100</v>
      </c>
      <c r="E29" s="432"/>
      <c r="F29" s="433">
        <f>SUMIF(94:94,E29,95:95)-SUMIF(94:94,C29,95:95)+100</f>
        <v>100</v>
      </c>
      <c r="G29" s="2612"/>
      <c r="H29" s="433">
        <f>SUMIF(94:94,G29,95:95)-SUMIF(94:94,C29,95:95)+100</f>
        <v>100</v>
      </c>
      <c r="I29" s="432"/>
      <c r="J29" s="433">
        <f>SUMIF(94:94,I29,95:95)-SUMIF(94:94,C29,95:95)+100</f>
        <v>100</v>
      </c>
      <c r="K29" s="2598"/>
      <c r="L29" s="1138"/>
      <c r="M29" s="1129"/>
      <c r="N29" s="1129"/>
      <c r="O29" s="1129"/>
      <c r="P29" s="3261"/>
      <c r="Q29" s="1808">
        <f t="shared" si="11"/>
        <v>111</v>
      </c>
      <c r="R29" s="772" t="s">
        <v>21</v>
      </c>
      <c r="S29" s="773">
        <f t="shared" si="12"/>
        <v>100</v>
      </c>
      <c r="T29" s="772" t="s">
        <v>21</v>
      </c>
      <c r="U29" s="773">
        <f t="shared" si="13"/>
        <v>100</v>
      </c>
      <c r="V29" s="772" t="s">
        <v>21</v>
      </c>
      <c r="W29" s="773">
        <f t="shared" si="14"/>
        <v>100</v>
      </c>
      <c r="X29" s="1811"/>
      <c r="Y29" s="3238"/>
      <c r="Z29" s="1812">
        <f t="shared" si="18"/>
        <v>111</v>
      </c>
      <c r="AA29" s="1809">
        <f t="shared" si="15"/>
        <v>1</v>
      </c>
      <c r="AB29" s="1809">
        <f t="shared" si="16"/>
        <v>1</v>
      </c>
      <c r="AC29" s="1809">
        <f t="shared" si="17"/>
        <v>1</v>
      </c>
    </row>
    <row r="30" spans="1:29" ht="15" hidden="1">
      <c r="A30" s="426"/>
      <c r="B30" s="1384">
        <v>111</v>
      </c>
      <c r="C30" s="432"/>
      <c r="D30" s="433">
        <v>100</v>
      </c>
      <c r="E30" s="432"/>
      <c r="F30" s="433">
        <f>SUMIF(96:96,E30,97:97)-SUMIF(96:96,C30,97:97)+100</f>
        <v>100</v>
      </c>
      <c r="G30" s="2612"/>
      <c r="H30" s="433">
        <f>SUMIF(96:96,G30,97:97)-SUMIF(96:96,C30,97:97)+100</f>
        <v>100</v>
      </c>
      <c r="I30" s="432"/>
      <c r="J30" s="433">
        <f>SUMIF(96:96,I30,97:97)-SUMIF(96:96,C30,97:97)+100</f>
        <v>100</v>
      </c>
      <c r="K30" s="2598"/>
      <c r="L30" s="1138"/>
      <c r="M30" s="1129"/>
      <c r="N30" s="1129"/>
      <c r="O30" s="1129"/>
      <c r="P30" s="3261"/>
      <c r="Q30" s="1808">
        <f t="shared" si="11"/>
        <v>111</v>
      </c>
      <c r="R30" s="772" t="s">
        <v>21</v>
      </c>
      <c r="S30" s="773">
        <f t="shared" si="12"/>
        <v>100</v>
      </c>
      <c r="T30" s="772" t="s">
        <v>21</v>
      </c>
      <c r="U30" s="773">
        <f t="shared" si="13"/>
        <v>100</v>
      </c>
      <c r="V30" s="772" t="s">
        <v>21</v>
      </c>
      <c r="W30" s="773">
        <f t="shared" si="14"/>
        <v>100</v>
      </c>
      <c r="X30" s="1811"/>
      <c r="Y30" s="3238"/>
      <c r="Z30" s="1812">
        <f t="shared" si="18"/>
        <v>111</v>
      </c>
      <c r="AA30" s="1809">
        <f t="shared" si="15"/>
        <v>1</v>
      </c>
      <c r="AB30" s="1809">
        <f t="shared" si="16"/>
        <v>1</v>
      </c>
      <c r="AC30" s="1809">
        <f t="shared" si="17"/>
        <v>1</v>
      </c>
    </row>
    <row r="31" spans="1:29" ht="15.75" hidden="1" thickBot="1">
      <c r="A31" s="434"/>
      <c r="B31" s="1384">
        <v>111</v>
      </c>
      <c r="C31" s="435"/>
      <c r="D31" s="436">
        <v>100</v>
      </c>
      <c r="E31" s="435"/>
      <c r="F31" s="436">
        <f>SUMIF(98:98,E31,99:99)-SUMIF(98:98,C31,99:99)+100</f>
        <v>100</v>
      </c>
      <c r="G31" s="2613"/>
      <c r="H31" s="436">
        <f>SUMIF(98:98,G31,99:99)-SUMIF(98:98,C31,99:99)+100</f>
        <v>100</v>
      </c>
      <c r="I31" s="435"/>
      <c r="J31" s="436">
        <f>SUMIF(98:98,I31,99:99)-SUMIF(98:98,C31,99:99)+100</f>
        <v>100</v>
      </c>
      <c r="K31" s="2598"/>
      <c r="L31" s="1138"/>
      <c r="M31" s="1129"/>
      <c r="N31" s="1129"/>
      <c r="O31" s="1129"/>
      <c r="P31" s="3261"/>
      <c r="Q31" s="1808">
        <f t="shared" si="11"/>
        <v>111</v>
      </c>
      <c r="R31" s="772" t="s">
        <v>21</v>
      </c>
      <c r="S31" s="773">
        <f t="shared" si="12"/>
        <v>100</v>
      </c>
      <c r="T31" s="772" t="s">
        <v>21</v>
      </c>
      <c r="U31" s="773">
        <f t="shared" si="13"/>
        <v>100</v>
      </c>
      <c r="V31" s="772" t="s">
        <v>21</v>
      </c>
      <c r="W31" s="773">
        <f t="shared" si="14"/>
        <v>100</v>
      </c>
      <c r="X31" s="1811"/>
      <c r="Y31" s="3238"/>
      <c r="Z31" s="1812">
        <f t="shared" si="18"/>
        <v>111</v>
      </c>
      <c r="AA31" s="1809">
        <f t="shared" si="15"/>
        <v>1</v>
      </c>
      <c r="AB31" s="1809">
        <f t="shared" si="16"/>
        <v>1</v>
      </c>
      <c r="AC31" s="1809">
        <f t="shared" si="17"/>
        <v>1</v>
      </c>
    </row>
    <row r="32" spans="1:29" ht="15">
      <c r="A32" s="438" t="s">
        <v>2563</v>
      </c>
      <c r="B32" s="70" t="s">
        <v>2564</v>
      </c>
      <c r="C32" s="2614" t="s">
        <v>3162</v>
      </c>
      <c r="D32" s="465">
        <v>100</v>
      </c>
      <c r="E32" s="2615" t="s">
        <v>3162</v>
      </c>
      <c r="F32" s="459">
        <f>SUMIF(100:100,E32,101:101)-SUMIF(100:100,C32,101:101)+100</f>
        <v>100</v>
      </c>
      <c r="G32" s="2615" t="s">
        <v>3162</v>
      </c>
      <c r="H32" s="465">
        <f>SUMIF(100:100,G32,101:101)-SUMIF(100:100,C32,101:101)+100</f>
        <v>100</v>
      </c>
      <c r="I32" s="2615" t="s">
        <v>3162</v>
      </c>
      <c r="J32" s="433">
        <f>SUMIF(100:100,I32,101:101)-SUMIF(100:100,C32,101:101)+100</f>
        <v>100</v>
      </c>
      <c r="K32" s="424">
        <v>2</v>
      </c>
      <c r="L32" s="1138"/>
      <c r="M32" s="1129"/>
      <c r="N32" s="1129"/>
      <c r="O32" s="1129"/>
      <c r="P32" s="3256" t="s">
        <v>2565</v>
      </c>
      <c r="Q32" s="1808" t="str">
        <f t="shared" si="11"/>
        <v>建筑类型</v>
      </c>
      <c r="R32" s="772" t="s">
        <v>21</v>
      </c>
      <c r="S32" s="773">
        <f t="shared" si="12"/>
        <v>100</v>
      </c>
      <c r="T32" s="772" t="s">
        <v>21</v>
      </c>
      <c r="U32" s="773">
        <f t="shared" si="13"/>
        <v>100</v>
      </c>
      <c r="V32" s="772" t="s">
        <v>21</v>
      </c>
      <c r="W32" s="773">
        <f t="shared" si="14"/>
        <v>100</v>
      </c>
      <c r="X32" s="1811"/>
      <c r="Y32" s="3240" t="s">
        <v>2565</v>
      </c>
      <c r="Z32" s="1812" t="str">
        <f t="shared" si="18"/>
        <v>建筑类型</v>
      </c>
      <c r="AA32" s="1809">
        <f t="shared" si="15"/>
        <v>1</v>
      </c>
      <c r="AB32" s="1809">
        <f t="shared" si="16"/>
        <v>1</v>
      </c>
      <c r="AC32" s="1809">
        <f t="shared" si="17"/>
        <v>1</v>
      </c>
    </row>
    <row r="33" spans="1:29" s="469" customFormat="1" ht="15">
      <c r="A33" s="466"/>
      <c r="B33" s="420" t="s">
        <v>2566</v>
      </c>
      <c r="C33" s="3009">
        <v>244402.1</v>
      </c>
      <c r="D33" s="135">
        <v>100</v>
      </c>
      <c r="E33" s="428">
        <v>612452</v>
      </c>
      <c r="F33" s="423">
        <f>LOOKUP(E33,103:103,104:104)-LOOKUP(C33,103:103,104:104)+100</f>
        <v>101</v>
      </c>
      <c r="G33" s="427">
        <v>1500000</v>
      </c>
      <c r="H33" s="135">
        <f>LOOKUP(G33,103:103,104:104)-LOOKUP(C33,103:103,104:104)+100</f>
        <v>103</v>
      </c>
      <c r="I33" s="428">
        <f>C33</f>
        <v>244402.1</v>
      </c>
      <c r="J33" s="135">
        <f>LOOKUP(I33,103:103,104:104)-LOOKUP(C33,103:103,104:104)+100</f>
        <v>100</v>
      </c>
      <c r="K33" s="2598"/>
      <c r="L33" s="1136"/>
      <c r="M33" s="1139"/>
      <c r="N33" s="1139"/>
      <c r="O33" s="1139"/>
      <c r="P33" s="3257"/>
      <c r="Q33" s="774" t="str">
        <f t="shared" si="11"/>
        <v>项目建筑规模</v>
      </c>
      <c r="R33" s="775" t="s">
        <v>21</v>
      </c>
      <c r="S33" s="776">
        <f t="shared" si="12"/>
        <v>101</v>
      </c>
      <c r="T33" s="775" t="s">
        <v>21</v>
      </c>
      <c r="U33" s="776">
        <f t="shared" si="13"/>
        <v>103</v>
      </c>
      <c r="V33" s="775" t="s">
        <v>21</v>
      </c>
      <c r="W33" s="776">
        <f t="shared" si="14"/>
        <v>100</v>
      </c>
      <c r="X33" s="777"/>
      <c r="Y33" s="3240"/>
      <c r="Z33" s="778" t="str">
        <f t="shared" si="18"/>
        <v>项目建筑规模</v>
      </c>
      <c r="AA33" s="1809">
        <f t="shared" si="15"/>
        <v>0.99009900990099009</v>
      </c>
      <c r="AB33" s="1809">
        <f t="shared" si="16"/>
        <v>0.970873786407767</v>
      </c>
      <c r="AC33" s="1809">
        <f t="shared" si="17"/>
        <v>1</v>
      </c>
    </row>
    <row r="34" spans="1:29" ht="15">
      <c r="A34" s="470"/>
      <c r="B34" s="420" t="s">
        <v>2567</v>
      </c>
      <c r="C34" s="2616" t="s">
        <v>3164</v>
      </c>
      <c r="D34" s="433">
        <v>100</v>
      </c>
      <c r="E34" s="2616" t="s">
        <v>3164</v>
      </c>
      <c r="F34" s="459">
        <f>SUMIF(105:105,E34,106:106)-SUMIF(105:105,C34,106:106)+100</f>
        <v>100</v>
      </c>
      <c r="G34" s="2616" t="s">
        <v>3164</v>
      </c>
      <c r="H34" s="433">
        <f>SUMIF(105:105,G34,106:106)-SUMIF(105:105,C34,106:106)+100</f>
        <v>100</v>
      </c>
      <c r="I34" s="2616" t="s">
        <v>3164</v>
      </c>
      <c r="J34" s="433">
        <f>SUMIF(105:105,I34,106:106)-SUMIF(105:105,C34,106:106)+100</f>
        <v>100</v>
      </c>
      <c r="K34" s="424">
        <v>2</v>
      </c>
      <c r="L34" s="1138"/>
      <c r="M34" s="1129"/>
      <c r="N34" s="1129"/>
      <c r="O34" s="1129"/>
      <c r="P34" s="3257"/>
      <c r="Q34" s="1808" t="str">
        <f t="shared" si="11"/>
        <v>建筑结构</v>
      </c>
      <c r="R34" s="772" t="s">
        <v>21</v>
      </c>
      <c r="S34" s="773">
        <f t="shared" si="12"/>
        <v>100</v>
      </c>
      <c r="T34" s="772" t="s">
        <v>21</v>
      </c>
      <c r="U34" s="773">
        <f t="shared" si="13"/>
        <v>100</v>
      </c>
      <c r="V34" s="772" t="s">
        <v>21</v>
      </c>
      <c r="W34" s="773">
        <f t="shared" si="14"/>
        <v>100</v>
      </c>
      <c r="X34" s="1811"/>
      <c r="Y34" s="3240"/>
      <c r="Z34" s="1812" t="str">
        <f t="shared" si="18"/>
        <v>建筑结构</v>
      </c>
      <c r="AA34" s="1809">
        <f t="shared" si="15"/>
        <v>1</v>
      </c>
      <c r="AB34" s="1809">
        <f t="shared" si="16"/>
        <v>1</v>
      </c>
      <c r="AC34" s="1809">
        <f t="shared" si="17"/>
        <v>1</v>
      </c>
    </row>
    <row r="35" spans="1:29" ht="15">
      <c r="A35" s="470"/>
      <c r="B35" s="420" t="s">
        <v>2568</v>
      </c>
      <c r="C35" s="2979" t="s">
        <v>3204</v>
      </c>
      <c r="D35" s="433">
        <v>100</v>
      </c>
      <c r="E35" s="2610" t="s">
        <v>3166</v>
      </c>
      <c r="F35" s="459">
        <f>SUMIF(107:107,E35,108:108)-SUMIF(107:107,C35,108:108)+100</f>
        <v>110</v>
      </c>
      <c r="G35" s="2610" t="s">
        <v>3166</v>
      </c>
      <c r="H35" s="433">
        <f>SUMIF(107:107,G35,108:108)-SUMIF(107:107,C35,108:108)+100</f>
        <v>110</v>
      </c>
      <c r="I35" s="2610" t="s">
        <v>3204</v>
      </c>
      <c r="J35" s="433">
        <f>SUMIF(107:107,I35,108:108)-SUMIF(107:107,C35,108:108)+100</f>
        <v>100</v>
      </c>
      <c r="K35" s="2980">
        <v>10</v>
      </c>
      <c r="L35" s="1138"/>
      <c r="M35" s="1129"/>
      <c r="N35" s="1129"/>
      <c r="O35" s="1129"/>
      <c r="P35" s="3257"/>
      <c r="Q35" s="1808" t="str">
        <f t="shared" si="11"/>
        <v>建筑品质</v>
      </c>
      <c r="R35" s="772" t="s">
        <v>21</v>
      </c>
      <c r="S35" s="773">
        <f t="shared" si="12"/>
        <v>110</v>
      </c>
      <c r="T35" s="772" t="s">
        <v>21</v>
      </c>
      <c r="U35" s="773">
        <f t="shared" si="13"/>
        <v>110</v>
      </c>
      <c r="V35" s="772" t="s">
        <v>21</v>
      </c>
      <c r="W35" s="773">
        <f t="shared" si="14"/>
        <v>100</v>
      </c>
      <c r="X35" s="1811"/>
      <c r="Y35" s="3240"/>
      <c r="Z35" s="1812" t="str">
        <f t="shared" si="18"/>
        <v>建筑品质</v>
      </c>
      <c r="AA35" s="1809">
        <f t="shared" si="15"/>
        <v>0.90909090909090906</v>
      </c>
      <c r="AB35" s="1809">
        <f t="shared" si="16"/>
        <v>0.90909090909090906</v>
      </c>
      <c r="AC35" s="1809">
        <f t="shared" si="17"/>
        <v>1</v>
      </c>
    </row>
    <row r="36" spans="1:29" ht="15">
      <c r="A36" s="470"/>
      <c r="B36" s="420" t="s">
        <v>2569</v>
      </c>
      <c r="C36" s="2610" t="s">
        <v>3168</v>
      </c>
      <c r="D36" s="433">
        <v>100</v>
      </c>
      <c r="E36" s="2610" t="s">
        <v>3168</v>
      </c>
      <c r="F36" s="459">
        <f>SUMIF(109:109,E36,110:110)-SUMIF(109:109,C36,110:110)+100</f>
        <v>100</v>
      </c>
      <c r="G36" s="2610" t="s">
        <v>3168</v>
      </c>
      <c r="H36" s="433">
        <f>SUMIF(109:109,G36,110:110)-SUMIF(109:109,C36,110:110)+100</f>
        <v>100</v>
      </c>
      <c r="I36" s="2610" t="s">
        <v>3168</v>
      </c>
      <c r="J36" s="433">
        <f>SUMIF(109:109,I36,110:110)-SUMIF(109:109,C36,110:110)+100</f>
        <v>100</v>
      </c>
      <c r="K36" s="424">
        <v>2</v>
      </c>
      <c r="L36" s="1138"/>
      <c r="M36" s="1129"/>
      <c r="N36" s="1129"/>
      <c r="O36" s="1129"/>
      <c r="P36" s="3257"/>
      <c r="Q36" s="1808" t="str">
        <f t="shared" si="11"/>
        <v>公共部分装修</v>
      </c>
      <c r="R36" s="772" t="s">
        <v>21</v>
      </c>
      <c r="S36" s="773">
        <f t="shared" si="12"/>
        <v>100</v>
      </c>
      <c r="T36" s="772" t="s">
        <v>21</v>
      </c>
      <c r="U36" s="773">
        <f t="shared" si="13"/>
        <v>100</v>
      </c>
      <c r="V36" s="772" t="s">
        <v>21</v>
      </c>
      <c r="W36" s="773">
        <f t="shared" si="14"/>
        <v>100</v>
      </c>
      <c r="X36" s="1811"/>
      <c r="Y36" s="3240"/>
      <c r="Z36" s="1812" t="str">
        <f t="shared" si="18"/>
        <v>公共部分装修</v>
      </c>
      <c r="AA36" s="1809">
        <f t="shared" si="15"/>
        <v>1</v>
      </c>
      <c r="AB36" s="1809">
        <f t="shared" si="16"/>
        <v>1</v>
      </c>
      <c r="AC36" s="1809">
        <f t="shared" si="17"/>
        <v>1</v>
      </c>
    </row>
    <row r="37" spans="1:29" s="116" customFormat="1" ht="15">
      <c r="A37" s="471"/>
      <c r="B37" s="420" t="s">
        <v>2570</v>
      </c>
      <c r="C37" s="472">
        <v>1</v>
      </c>
      <c r="D37" s="135">
        <v>100</v>
      </c>
      <c r="E37" s="472">
        <v>1</v>
      </c>
      <c r="F37" s="423">
        <f>LOOKUP(E37,112:112,113:113)-LOOKUP(C37,112:112,113:113)+100</f>
        <v>100</v>
      </c>
      <c r="G37" s="474">
        <v>1</v>
      </c>
      <c r="H37" s="135">
        <f>LOOKUP(G37,112:112,113:113)-LOOKUP(C37,112:112,113:113)+100</f>
        <v>100</v>
      </c>
      <c r="I37" s="473">
        <v>1</v>
      </c>
      <c r="J37" s="135">
        <f>LOOKUP(I37,112:112,113:113)-LOOKUP(C37,112:112,113:113)+100</f>
        <v>100</v>
      </c>
      <c r="K37" s="424">
        <v>2</v>
      </c>
      <c r="L37" s="1130"/>
      <c r="M37" s="1131"/>
      <c r="N37" s="1131"/>
      <c r="O37" s="1131"/>
      <c r="P37" s="3257"/>
      <c r="Q37" s="1793" t="str">
        <f t="shared" si="11"/>
        <v>成新度</v>
      </c>
      <c r="R37" s="768" t="s">
        <v>21</v>
      </c>
      <c r="S37" s="769">
        <f t="shared" si="12"/>
        <v>100</v>
      </c>
      <c r="T37" s="768" t="s">
        <v>21</v>
      </c>
      <c r="U37" s="769">
        <f t="shared" si="13"/>
        <v>100</v>
      </c>
      <c r="V37" s="768" t="s">
        <v>21</v>
      </c>
      <c r="W37" s="769">
        <f t="shared" si="14"/>
        <v>100</v>
      </c>
      <c r="X37" s="770"/>
      <c r="Y37" s="3240"/>
      <c r="Z37" s="54" t="str">
        <f t="shared" si="18"/>
        <v>成新度</v>
      </c>
      <c r="AA37" s="771">
        <f t="shared" si="15"/>
        <v>1</v>
      </c>
      <c r="AB37" s="771">
        <f t="shared" si="16"/>
        <v>1</v>
      </c>
      <c r="AC37" s="771">
        <f t="shared" si="17"/>
        <v>1</v>
      </c>
    </row>
    <row r="38" spans="1:29" ht="15" hidden="1">
      <c r="A38" s="470"/>
      <c r="B38" s="420" t="s">
        <v>2571</v>
      </c>
      <c r="C38" s="2610" t="s">
        <v>3170</v>
      </c>
      <c r="D38" s="433">
        <v>100</v>
      </c>
      <c r="E38" s="2611" t="s">
        <v>3170</v>
      </c>
      <c r="F38" s="459">
        <f>SUMIF(114:114,E38,115:115)-SUMIF(114:114,C38,115:115)+100</f>
        <v>100</v>
      </c>
      <c r="G38" s="2610" t="s">
        <v>3170</v>
      </c>
      <c r="H38" s="433">
        <f>SUMIF(114:114,G38,115:115)-SUMIF(114:114,C38,115:115)+100</f>
        <v>100</v>
      </c>
      <c r="I38" s="2611" t="s">
        <v>3170</v>
      </c>
      <c r="J38" s="433">
        <f>SUMIF(114:114,I38,115:115)-SUMIF(114:114,C38,115:115)+100</f>
        <v>100</v>
      </c>
      <c r="K38" s="424">
        <v>2</v>
      </c>
      <c r="L38" s="1138"/>
      <c r="M38" s="1129"/>
      <c r="N38" s="1129"/>
      <c r="O38" s="1129"/>
      <c r="P38" s="3257" t="s">
        <v>2565</v>
      </c>
      <c r="Q38" s="1808" t="str">
        <f t="shared" si="11"/>
        <v>物业管理</v>
      </c>
      <c r="R38" s="772" t="s">
        <v>21</v>
      </c>
      <c r="S38" s="773">
        <f t="shared" si="12"/>
        <v>100</v>
      </c>
      <c r="T38" s="772" t="s">
        <v>21</v>
      </c>
      <c r="U38" s="773">
        <f t="shared" si="13"/>
        <v>100</v>
      </c>
      <c r="V38" s="772" t="s">
        <v>21</v>
      </c>
      <c r="W38" s="773">
        <f t="shared" si="14"/>
        <v>100</v>
      </c>
      <c r="X38" s="1811"/>
      <c r="Y38" s="3240" t="s">
        <v>2565</v>
      </c>
      <c r="Z38" s="1812" t="str">
        <f t="shared" si="18"/>
        <v>物业管理</v>
      </c>
      <c r="AA38" s="1809">
        <f t="shared" si="15"/>
        <v>1</v>
      </c>
      <c r="AB38" s="1809">
        <f t="shared" si="16"/>
        <v>1</v>
      </c>
      <c r="AC38" s="1809">
        <f t="shared" si="17"/>
        <v>1</v>
      </c>
    </row>
    <row r="39" spans="1:29" ht="15" hidden="1">
      <c r="A39" s="470"/>
      <c r="B39" s="420" t="s">
        <v>2572</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8"/>
      <c r="M39" s="1129"/>
      <c r="N39" s="1129"/>
      <c r="O39" s="1129"/>
      <c r="P39" s="3257"/>
      <c r="Q39" s="1808" t="str">
        <f t="shared" si="11"/>
        <v>市政基础设施</v>
      </c>
      <c r="R39" s="772" t="s">
        <v>21</v>
      </c>
      <c r="S39" s="773">
        <f t="shared" si="12"/>
        <v>100</v>
      </c>
      <c r="T39" s="772" t="s">
        <v>21</v>
      </c>
      <c r="U39" s="773">
        <f t="shared" si="13"/>
        <v>100</v>
      </c>
      <c r="V39" s="772" t="s">
        <v>21</v>
      </c>
      <c r="W39" s="773">
        <f t="shared" si="14"/>
        <v>100</v>
      </c>
      <c r="X39" s="1811"/>
      <c r="Y39" s="3240"/>
      <c r="Z39" s="1812" t="str">
        <f t="shared" si="18"/>
        <v>市政基础设施</v>
      </c>
      <c r="AA39" s="1809">
        <f t="shared" si="15"/>
        <v>1</v>
      </c>
      <c r="AB39" s="1809">
        <f t="shared" si="16"/>
        <v>1</v>
      </c>
      <c r="AC39" s="1809">
        <f t="shared" si="17"/>
        <v>1</v>
      </c>
    </row>
    <row r="40" spans="1:29" ht="15" hidden="1">
      <c r="A40" s="470"/>
      <c r="B40" s="420" t="s">
        <v>2573</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8"/>
      <c r="M40" s="1129"/>
      <c r="N40" s="1129"/>
      <c r="O40" s="1129"/>
      <c r="P40" s="3257"/>
      <c r="Q40" s="1808" t="str">
        <f t="shared" si="11"/>
        <v>房型</v>
      </c>
      <c r="R40" s="772" t="s">
        <v>21</v>
      </c>
      <c r="S40" s="773">
        <f t="shared" si="12"/>
        <v>100</v>
      </c>
      <c r="T40" s="772" t="s">
        <v>21</v>
      </c>
      <c r="U40" s="773">
        <f t="shared" si="13"/>
        <v>100</v>
      </c>
      <c r="V40" s="772" t="s">
        <v>21</v>
      </c>
      <c r="W40" s="773">
        <f t="shared" si="14"/>
        <v>100</v>
      </c>
      <c r="X40" s="1811"/>
      <c r="Y40" s="3240"/>
      <c r="Z40" s="1812" t="str">
        <f t="shared" si="18"/>
        <v>房型</v>
      </c>
      <c r="AA40" s="1809">
        <f t="shared" si="15"/>
        <v>1</v>
      </c>
      <c r="AB40" s="1809">
        <f t="shared" si="16"/>
        <v>1</v>
      </c>
      <c r="AC40" s="1809">
        <f t="shared" si="17"/>
        <v>1</v>
      </c>
    </row>
    <row r="41" spans="1:29" s="469" customFormat="1" ht="28.5">
      <c r="A41" s="466"/>
      <c r="B41" s="3008" t="s">
        <v>2574</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8"/>
      <c r="L41" s="1136"/>
      <c r="M41" s="1139"/>
      <c r="N41" s="1139"/>
      <c r="O41" s="1139"/>
      <c r="P41" s="3257"/>
      <c r="Q41" s="774" t="str">
        <f t="shared" si="11"/>
        <v>单套/主力户型建筑面积</v>
      </c>
      <c r="R41" s="775" t="s">
        <v>21</v>
      </c>
      <c r="S41" s="776">
        <f t="shared" si="12"/>
        <v>100</v>
      </c>
      <c r="T41" s="775" t="s">
        <v>21</v>
      </c>
      <c r="U41" s="776">
        <f t="shared" si="13"/>
        <v>100</v>
      </c>
      <c r="V41" s="775" t="s">
        <v>21</v>
      </c>
      <c r="W41" s="776">
        <f t="shared" si="14"/>
        <v>100</v>
      </c>
      <c r="X41" s="777"/>
      <c r="Y41" s="3240"/>
      <c r="Z41" s="778" t="str">
        <f t="shared" si="18"/>
        <v>单套/主力户型建筑面积</v>
      </c>
      <c r="AA41" s="1809">
        <f t="shared" si="15"/>
        <v>1</v>
      </c>
      <c r="AB41" s="1809">
        <f t="shared" si="16"/>
        <v>1</v>
      </c>
      <c r="AC41" s="1809">
        <f t="shared" si="17"/>
        <v>1</v>
      </c>
    </row>
    <row r="42" spans="1:29" ht="15">
      <c r="A42" s="470"/>
      <c r="B42" s="420" t="s">
        <v>2575</v>
      </c>
      <c r="C42" s="2610" t="s">
        <v>3177</v>
      </c>
      <c r="D42" s="433">
        <v>100</v>
      </c>
      <c r="E42" s="2611" t="s">
        <v>3177</v>
      </c>
      <c r="F42" s="459">
        <f>SUMIF(122:122,E42,123:123)-SUMIF(122:122,C42,123:123)+100</f>
        <v>100</v>
      </c>
      <c r="G42" s="2610" t="s">
        <v>3177</v>
      </c>
      <c r="H42" s="433">
        <f>SUMIF(122:122,G42,123:123)-SUMIF(122:122,C42,123:123)+100</f>
        <v>100</v>
      </c>
      <c r="I42" s="2611" t="s">
        <v>3177</v>
      </c>
      <c r="J42" s="433">
        <f>SUMIF(122:122,I42,123:123)-SUMIF(122:122,C42,123:123)+100</f>
        <v>100</v>
      </c>
      <c r="K42" s="424">
        <v>6</v>
      </c>
      <c r="L42" s="1138"/>
      <c r="M42" s="1129"/>
      <c r="N42" s="1129"/>
      <c r="O42" s="1129"/>
      <c r="P42" s="3257"/>
      <c r="Q42" s="1808" t="str">
        <f t="shared" si="11"/>
        <v>内部装修</v>
      </c>
      <c r="R42" s="772" t="s">
        <v>21</v>
      </c>
      <c r="S42" s="773">
        <f t="shared" si="12"/>
        <v>100</v>
      </c>
      <c r="T42" s="772" t="s">
        <v>21</v>
      </c>
      <c r="U42" s="773">
        <f t="shared" si="13"/>
        <v>100</v>
      </c>
      <c r="V42" s="772" t="s">
        <v>21</v>
      </c>
      <c r="W42" s="773">
        <f t="shared" si="14"/>
        <v>100</v>
      </c>
      <c r="X42" s="1811"/>
      <c r="Y42" s="3240"/>
      <c r="Z42" s="1812" t="str">
        <f t="shared" si="18"/>
        <v>内部装修</v>
      </c>
      <c r="AA42" s="1809">
        <f t="shared" si="15"/>
        <v>1</v>
      </c>
      <c r="AB42" s="1809">
        <f t="shared" si="16"/>
        <v>1</v>
      </c>
      <c r="AC42" s="1809">
        <f t="shared" si="17"/>
        <v>1</v>
      </c>
    </row>
    <row r="43" spans="1:29" ht="15.75" thickBot="1">
      <c r="A43" s="470"/>
      <c r="B43" s="420" t="s">
        <v>2576</v>
      </c>
      <c r="C43" s="2610" t="s">
        <v>3155</v>
      </c>
      <c r="D43" s="433">
        <v>100</v>
      </c>
      <c r="E43" s="2610" t="s">
        <v>3155</v>
      </c>
      <c r="F43" s="459">
        <f>SUMIF(124:124,E43,125:125)-SUMIF(124:124,C43,125:125)+100</f>
        <v>100</v>
      </c>
      <c r="G43" s="2610" t="s">
        <v>3155</v>
      </c>
      <c r="H43" s="433">
        <f>SUMIF(124:124,G43,125:125)-SUMIF(124:124,C43,125:125)+100</f>
        <v>100</v>
      </c>
      <c r="I43" s="2610" t="s">
        <v>3155</v>
      </c>
      <c r="J43" s="433">
        <f>SUMIF(124:124,I43,125:125)-SUMIF(124:124,C43,125:125)+100</f>
        <v>100</v>
      </c>
      <c r="K43" s="424">
        <v>2</v>
      </c>
      <c r="L43" s="1138"/>
      <c r="M43" s="1129"/>
      <c r="N43" s="1129"/>
      <c r="O43" s="1129"/>
      <c r="P43" s="3257"/>
      <c r="Q43" s="1808" t="str">
        <f t="shared" si="11"/>
        <v>内部装修维护情况</v>
      </c>
      <c r="R43" s="772" t="s">
        <v>21</v>
      </c>
      <c r="S43" s="773">
        <f t="shared" si="12"/>
        <v>100</v>
      </c>
      <c r="T43" s="772" t="s">
        <v>21</v>
      </c>
      <c r="U43" s="773">
        <f t="shared" si="13"/>
        <v>100</v>
      </c>
      <c r="V43" s="772" t="s">
        <v>21</v>
      </c>
      <c r="W43" s="773">
        <f t="shared" si="14"/>
        <v>100</v>
      </c>
      <c r="X43" s="1811"/>
      <c r="Y43" s="3240"/>
      <c r="Z43" s="1812" t="str">
        <f t="shared" si="18"/>
        <v>内部装修维护情况</v>
      </c>
      <c r="AA43" s="1809">
        <f t="shared" si="15"/>
        <v>1</v>
      </c>
      <c r="AB43" s="1809">
        <f t="shared" si="16"/>
        <v>1</v>
      </c>
      <c r="AC43" s="1809">
        <f t="shared" si="17"/>
        <v>1</v>
      </c>
    </row>
    <row r="44" spans="1:29" s="116" customFormat="1" ht="15" hidden="1">
      <c r="A44" s="471"/>
      <c r="B44" s="1384">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8"/>
      <c r="L44" s="1130"/>
      <c r="M44" s="1131"/>
      <c r="N44" s="1131"/>
      <c r="O44" s="1131"/>
      <c r="P44" s="3257"/>
      <c r="Q44" s="1793">
        <f t="shared" si="11"/>
        <v>111</v>
      </c>
      <c r="R44" s="768" t="s">
        <v>21</v>
      </c>
      <c r="S44" s="769">
        <f t="shared" si="12"/>
        <v>100</v>
      </c>
      <c r="T44" s="768" t="s">
        <v>21</v>
      </c>
      <c r="U44" s="769">
        <f t="shared" si="13"/>
        <v>100</v>
      </c>
      <c r="V44" s="768" t="s">
        <v>21</v>
      </c>
      <c r="W44" s="769">
        <f t="shared" si="14"/>
        <v>100</v>
      </c>
      <c r="X44" s="770"/>
      <c r="Y44" s="3240"/>
      <c r="Z44" s="54">
        <f t="shared" si="18"/>
        <v>111</v>
      </c>
      <c r="AA44" s="771">
        <f t="shared" si="15"/>
        <v>1</v>
      </c>
      <c r="AB44" s="771">
        <f t="shared" si="16"/>
        <v>1</v>
      </c>
      <c r="AC44" s="771">
        <f t="shared" si="17"/>
        <v>1</v>
      </c>
    </row>
    <row r="45" spans="1:29" ht="15" hidden="1">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8"/>
      <c r="M45" s="1129"/>
      <c r="N45" s="1129"/>
      <c r="O45" s="1129"/>
      <c r="P45" s="3257"/>
      <c r="Q45" s="1808">
        <f t="shared" si="11"/>
        <v>111</v>
      </c>
      <c r="R45" s="772" t="s">
        <v>21</v>
      </c>
      <c r="S45" s="773">
        <f t="shared" si="12"/>
        <v>100</v>
      </c>
      <c r="T45" s="772" t="s">
        <v>21</v>
      </c>
      <c r="U45" s="773">
        <f t="shared" si="13"/>
        <v>100</v>
      </c>
      <c r="V45" s="772" t="s">
        <v>21</v>
      </c>
      <c r="W45" s="773">
        <f t="shared" si="14"/>
        <v>100</v>
      </c>
      <c r="X45" s="1811"/>
      <c r="Y45" s="3240"/>
      <c r="Z45" s="1812">
        <f t="shared" si="18"/>
        <v>111</v>
      </c>
      <c r="AA45" s="1809">
        <f t="shared" si="15"/>
        <v>1</v>
      </c>
      <c r="AB45" s="1809">
        <f t="shared" si="16"/>
        <v>1</v>
      </c>
      <c r="AC45" s="1809">
        <f t="shared" si="17"/>
        <v>1</v>
      </c>
    </row>
    <row r="46" spans="1:29" ht="15.75" hidden="1"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8"/>
      <c r="M46" s="1129"/>
      <c r="N46" s="1129"/>
      <c r="O46" s="1129"/>
      <c r="P46" s="3258"/>
      <c r="Q46" s="1808">
        <f t="shared" si="11"/>
        <v>111</v>
      </c>
      <c r="R46" s="772" t="s">
        <v>20</v>
      </c>
      <c r="S46" s="773">
        <f t="shared" si="12"/>
        <v>100</v>
      </c>
      <c r="T46" s="772" t="s">
        <v>20</v>
      </c>
      <c r="U46" s="773">
        <f t="shared" si="13"/>
        <v>100</v>
      </c>
      <c r="V46" s="772" t="s">
        <v>20</v>
      </c>
      <c r="W46" s="773">
        <f t="shared" si="14"/>
        <v>100</v>
      </c>
      <c r="X46" s="1811"/>
      <c r="Y46" s="3259"/>
      <c r="Z46" s="1812">
        <f t="shared" si="18"/>
        <v>111</v>
      </c>
      <c r="AA46" s="1809">
        <f t="shared" si="15"/>
        <v>1</v>
      </c>
      <c r="AB46" s="1809">
        <f t="shared" si="16"/>
        <v>1</v>
      </c>
      <c r="AC46" s="1809">
        <f t="shared" si="17"/>
        <v>1</v>
      </c>
    </row>
    <row r="47" spans="1:29" ht="15">
      <c r="A47" s="477" t="s">
        <v>2577</v>
      </c>
      <c r="B47" s="478"/>
      <c r="C47" s="1405" t="s">
        <v>19</v>
      </c>
      <c r="D47" s="1406"/>
      <c r="E47" s="1407">
        <f>ROUND((17000-2500)*0.97,0)</f>
        <v>14065</v>
      </c>
      <c r="F47" s="1408"/>
      <c r="G47" s="2975">
        <f>ROUND(103/130*20000*0.98,0)</f>
        <v>15529</v>
      </c>
      <c r="H47" s="1410"/>
      <c r="I47" s="2976">
        <f>ROUND(15000*0.8,0)</f>
        <v>12000</v>
      </c>
      <c r="J47" s="1410"/>
      <c r="K47" s="2617"/>
      <c r="L47" s="1141"/>
      <c r="M47" s="1142"/>
      <c r="N47" s="1129"/>
      <c r="O47" s="1142"/>
      <c r="P47" s="3222" t="str">
        <f>A47</f>
        <v>成交单价（元/平方米）</v>
      </c>
      <c r="Q47" s="3222"/>
      <c r="R47" s="3255">
        <f>E47</f>
        <v>14065</v>
      </c>
      <c r="S47" s="3255"/>
      <c r="T47" s="3255">
        <f>G47</f>
        <v>15529</v>
      </c>
      <c r="U47" s="3255"/>
      <c r="V47" s="3255">
        <f>I47</f>
        <v>12000</v>
      </c>
      <c r="W47" s="3255"/>
      <c r="X47" s="757"/>
      <c r="Y47" s="779"/>
      <c r="Z47" s="757"/>
      <c r="AA47" s="757"/>
      <c r="AB47" s="757"/>
      <c r="AC47" s="757"/>
    </row>
    <row r="48" spans="1:29" ht="15.75" thickBot="1">
      <c r="A48" s="484" t="s">
        <v>2578</v>
      </c>
      <c r="B48" s="485"/>
      <c r="C48" s="3003">
        <f>R49</f>
        <v>12065</v>
      </c>
      <c r="D48" s="1412"/>
      <c r="E48" s="1413">
        <f>R48</f>
        <v>11928</v>
      </c>
      <c r="F48" s="1413"/>
      <c r="G48" s="1411">
        <f>T48</f>
        <v>12268</v>
      </c>
      <c r="H48" s="1412"/>
      <c r="I48" s="1413">
        <f>V48</f>
        <v>12000</v>
      </c>
      <c r="J48" s="1412"/>
      <c r="K48" s="2618"/>
      <c r="L48" s="1141"/>
      <c r="M48" s="1142"/>
      <c r="N48" s="1142"/>
      <c r="O48" s="1142"/>
      <c r="P48" s="3222" t="str">
        <f>A48</f>
        <v>比较价值（元/平方米）</v>
      </c>
      <c r="Q48" s="3222"/>
      <c r="R48" s="3255">
        <f>IF(F1="售价",ROUND(PRODUCT(R47,AA7:AA46),0),ROUND(PRODUCT(R47,AA7:AA46),1))</f>
        <v>11928</v>
      </c>
      <c r="S48" s="3255"/>
      <c r="T48" s="3255">
        <f>IF(F1="售价",ROUND(PRODUCT(T47,AB7:AB46),0),ROUND(PRODUCT(T47,AB7:AB46),1))</f>
        <v>12268</v>
      </c>
      <c r="U48" s="3255"/>
      <c r="V48" s="3255">
        <f>IF(F1="售价",ROUND(PRODUCT(V47,AC7:AC46),0),ROUND(PRODUCT(V47,AC7:AC46),1))</f>
        <v>12000</v>
      </c>
      <c r="W48" s="3255"/>
      <c r="X48" s="757"/>
      <c r="Y48" s="757"/>
      <c r="Z48" s="757"/>
      <c r="AA48" s="757"/>
      <c r="AB48" s="757"/>
      <c r="AC48" s="757"/>
    </row>
    <row r="49" spans="1:29" ht="15.75" thickBot="1">
      <c r="A49" s="490" t="s">
        <v>2579</v>
      </c>
      <c r="B49" s="491"/>
      <c r="C49" s="1414">
        <f>R49</f>
        <v>12065</v>
      </c>
      <c r="D49" s="1415"/>
      <c r="E49" s="1415"/>
      <c r="F49" s="1415"/>
      <c r="G49" s="1415"/>
      <c r="H49" s="1415"/>
      <c r="I49" s="1415"/>
      <c r="J49" s="1415"/>
      <c r="K49" s="2619"/>
      <c r="L49" s="1141"/>
      <c r="M49" s="1142"/>
      <c r="N49" s="1142"/>
      <c r="O49" s="1142"/>
      <c r="P49" s="3242" t="str">
        <f>A49</f>
        <v>估价对象XX用房的比较价值（楼面单价，元/平方米）</v>
      </c>
      <c r="Q49" s="3243"/>
      <c r="R49" s="3254">
        <f>IF(F1="售价",ROUND(AVERAGE(R48:V48),0),ROUND(AVERAGE(R48:V48),1))</f>
        <v>12065</v>
      </c>
      <c r="S49" s="3254"/>
      <c r="T49" s="3254"/>
      <c r="U49" s="3254"/>
      <c r="V49" s="3254"/>
      <c r="W49" s="32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2580</v>
      </c>
      <c r="D52" s="496"/>
      <c r="E52" s="497">
        <f>IF(E47&lt;E48,E48/E47-1,E47/E48-1)</f>
        <v>0.17915828303152237</v>
      </c>
      <c r="F52" s="498" t="str">
        <f>IF(OR(E52&gt;=0.3,E52&lt;=-0.3),"超过30%","")</f>
        <v/>
      </c>
      <c r="G52" s="497">
        <f>IF(G47&lt;G48,G48/G47-1,G47/G48-1)</f>
        <v>0.26581349853276826</v>
      </c>
      <c r="H52" s="498" t="str">
        <f>IF(OR(G52&gt;=0.3,G52&lt;=-0.3),"超过30%","")</f>
        <v/>
      </c>
      <c r="I52" s="497">
        <f>IF(I47&lt;I48,I48/I47-1,I47/I48-1)</f>
        <v>0</v>
      </c>
      <c r="J52" s="498" t="str">
        <f>IF(OR(I52&gt;=0.3,I52&lt;=-0.3),"超过30%","")</f>
        <v/>
      </c>
      <c r="K52" s="1103"/>
      <c r="L52" s="1104"/>
      <c r="M52" s="1142"/>
      <c r="N52" s="1142"/>
      <c r="O52" s="1142"/>
    </row>
    <row r="53" spans="1:29" ht="13.5" customHeight="1">
      <c r="A53" s="1142"/>
      <c r="B53" s="1142"/>
      <c r="C53" s="495" t="s">
        <v>2581</v>
      </c>
      <c r="D53" s="499"/>
      <c r="E53" s="497">
        <f>IF(E48&lt;G48,G48/E48-1,E48/G48-1)</f>
        <v>2.8504359490274966E-2</v>
      </c>
      <c r="F53" s="498" t="str">
        <f>IF(OR(E53&gt;=0.2,E53&lt;=-0.2),"超过20%","")</f>
        <v/>
      </c>
      <c r="G53" s="497">
        <f>IF(G48&lt;I48,I48/G48-1,G48/I48-1)</f>
        <v>2.2333333333333316E-2</v>
      </c>
      <c r="H53" s="498" t="str">
        <f>IF(OR(G53&gt;=0.2,G53&lt;=-0.2),"超过20%","")</f>
        <v/>
      </c>
      <c r="I53" s="497">
        <f>IF(I48&lt;E48,E48/I48-1,I48/E48-1)</f>
        <v>6.0362173038228661E-3</v>
      </c>
      <c r="J53" s="498" t="str">
        <f>IF(OR(I53&gt;=0.2,I53&lt;=-0.2),"超过20%","")</f>
        <v/>
      </c>
      <c r="K53" s="1103"/>
      <c r="L53" s="1104"/>
      <c r="M53" s="1142"/>
      <c r="N53" s="1142"/>
      <c r="O53" s="1142"/>
    </row>
    <row r="54" spans="1:29" s="500" customFormat="1" ht="13.5" customHeight="1">
      <c r="A54" s="1143"/>
      <c r="B54" s="1143"/>
      <c r="C54" s="495" t="s">
        <v>2582</v>
      </c>
      <c r="D54" s="499"/>
      <c r="E54" s="497">
        <f>IF(E47&lt;G47,G47/E47-1,E47/G47-1)</f>
        <v>0.10408816210451466</v>
      </c>
      <c r="F54" s="498" t="str">
        <f>IF(OR(E54&gt;=0.3,E54&lt;=-0.3),"超过30%","")</f>
        <v/>
      </c>
      <c r="G54" s="497">
        <f>IF(G47&lt;I47,I47/G47-1,G47/I47-1)</f>
        <v>0.29408333333333325</v>
      </c>
      <c r="H54" s="498" t="str">
        <f>IF(OR(G54&gt;=0.3,G54&lt;=-0.3),"超过30%","")</f>
        <v/>
      </c>
      <c r="I54" s="497">
        <f>IF(I47&lt;E47,E47/I47-1,I47/E47-1)</f>
        <v>0.17208333333333337</v>
      </c>
      <c r="J54" s="498" t="str">
        <f>IF(OR(I54&gt;=0.3,I54&lt;=-0.3),"超过30%","")</f>
        <v/>
      </c>
      <c r="K54" s="1146"/>
      <c r="L54" s="1147"/>
      <c r="M54" s="1143"/>
      <c r="N54" s="1143"/>
      <c r="O54" s="1143"/>
      <c r="P54" s="2621"/>
    </row>
    <row r="55" spans="1:29" s="500"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2"/>
    </row>
    <row r="58" spans="1:29" s="506" customFormat="1" ht="15">
      <c r="A58" s="503" t="s">
        <v>2584</v>
      </c>
      <c r="B58" s="504"/>
      <c r="C58" s="1574" t="str">
        <f>YEAR(C7)&amp;"-"&amp;MONTH(C7)</f>
        <v>2018-3</v>
      </c>
      <c r="D58" s="1573">
        <f>EDATE(C58,-1)</f>
        <v>43132</v>
      </c>
      <c r="E58" s="1573">
        <f>EDATE(D58,-1)</f>
        <v>43101</v>
      </c>
      <c r="F58" s="1573">
        <f t="shared" ref="F58:O58" si="19">EDATE(E58,-1)</f>
        <v>43070</v>
      </c>
      <c r="G58" s="1573">
        <f t="shared" si="19"/>
        <v>43040</v>
      </c>
      <c r="H58" s="1573">
        <f t="shared" si="19"/>
        <v>43009</v>
      </c>
      <c r="I58" s="1573">
        <f t="shared" si="19"/>
        <v>42979</v>
      </c>
      <c r="J58" s="1573">
        <f t="shared" si="19"/>
        <v>42948</v>
      </c>
      <c r="K58" s="1573">
        <f t="shared" si="19"/>
        <v>42917</v>
      </c>
      <c r="L58" s="1573">
        <f t="shared" si="19"/>
        <v>42887</v>
      </c>
      <c r="M58" s="1573">
        <f t="shared" si="19"/>
        <v>42856</v>
      </c>
      <c r="N58" s="1573">
        <f t="shared" si="19"/>
        <v>42826</v>
      </c>
      <c r="O58" s="1573">
        <f t="shared" si="19"/>
        <v>42795</v>
      </c>
      <c r="P58" s="1568"/>
    </row>
    <row r="59" spans="1:29" s="116" customFormat="1" ht="15">
      <c r="A59" s="507"/>
      <c r="B59" s="2623"/>
      <c r="C59" s="1571">
        <v>100</v>
      </c>
      <c r="D59" s="509">
        <f>C59-2.5</f>
        <v>97.5</v>
      </c>
      <c r="E59" s="509">
        <f t="shared" ref="E59:H59" si="20">D59-2.5</f>
        <v>95</v>
      </c>
      <c r="F59" s="509">
        <f t="shared" si="20"/>
        <v>92.5</v>
      </c>
      <c r="G59" s="509">
        <f t="shared" si="20"/>
        <v>90</v>
      </c>
      <c r="H59" s="509">
        <f t="shared" si="20"/>
        <v>87.5</v>
      </c>
      <c r="I59" s="510"/>
      <c r="J59" s="510"/>
      <c r="K59" s="510"/>
      <c r="L59" s="510"/>
      <c r="M59" s="511"/>
      <c r="N59" s="510"/>
      <c r="O59" s="511"/>
      <c r="P59" s="2624"/>
    </row>
    <row r="60" spans="1:29" s="116" customFormat="1" ht="15.75" thickBot="1">
      <c r="A60" s="513" t="s">
        <v>2585</v>
      </c>
      <c r="B60" s="514"/>
      <c r="C60" s="515"/>
      <c r="D60" s="516"/>
      <c r="E60" s="516"/>
      <c r="F60" s="516"/>
      <c r="G60" s="516"/>
      <c r="H60" s="516"/>
      <c r="I60" s="516"/>
      <c r="J60" s="516"/>
      <c r="K60" s="516"/>
      <c r="L60" s="516"/>
      <c r="M60" s="517"/>
      <c r="N60" s="516"/>
      <c r="O60" s="517"/>
      <c r="P60" s="2624"/>
      <c r="Q60" s="502"/>
    </row>
    <row r="61" spans="1:29" s="116" customFormat="1" ht="15">
      <c r="A61" s="519" t="s">
        <v>2586</v>
      </c>
      <c r="B61" s="508"/>
      <c r="C61" s="520" t="s">
        <v>2587</v>
      </c>
      <c r="D61" s="521"/>
      <c r="E61" s="521"/>
      <c r="F61" s="521"/>
      <c r="G61" s="521"/>
      <c r="H61" s="521"/>
      <c r="I61" s="521"/>
      <c r="J61" s="521"/>
      <c r="K61" s="521"/>
      <c r="L61" s="522"/>
      <c r="M61" s="523"/>
      <c r="N61" s="1149"/>
      <c r="O61" s="1149"/>
      <c r="P61" s="2625"/>
      <c r="Q61" s="502"/>
    </row>
    <row r="62" spans="1:29" s="116" customFormat="1" ht="15.75" thickBot="1">
      <c r="A62" s="519"/>
      <c r="B62" s="508"/>
      <c r="C62" s="509">
        <v>100</v>
      </c>
      <c r="D62" s="510"/>
      <c r="E62" s="510"/>
      <c r="F62" s="510"/>
      <c r="G62" s="510"/>
      <c r="H62" s="510"/>
      <c r="I62" s="510"/>
      <c r="J62" s="510"/>
      <c r="K62" s="510"/>
      <c r="L62" s="510"/>
      <c r="M62" s="512"/>
      <c r="N62" s="1149"/>
      <c r="O62" s="1149"/>
      <c r="P62" s="2624"/>
      <c r="Q62" s="502"/>
    </row>
    <row r="63" spans="1:29">
      <c r="A63" s="525" t="s">
        <v>2588</v>
      </c>
      <c r="B63" s="526" t="s">
        <v>2554</v>
      </c>
      <c r="C63" s="527" t="str">
        <f>C9</f>
        <v>住宅</v>
      </c>
      <c r="D63" s="528"/>
      <c r="E63" s="528"/>
      <c r="F63" s="528"/>
      <c r="G63" s="528"/>
      <c r="H63" s="528"/>
      <c r="I63" s="528"/>
      <c r="J63" s="528"/>
      <c r="K63" s="529"/>
      <c r="L63" s="530"/>
      <c r="M63" s="531"/>
      <c r="N63" s="1150"/>
      <c r="O63" s="1150"/>
      <c r="P63" s="2626"/>
      <c r="Q63" s="502"/>
    </row>
    <row r="64" spans="1:29" ht="15.75" thickBot="1">
      <c r="A64" s="532"/>
      <c r="B64" s="533"/>
      <c r="C64" s="534">
        <v>100</v>
      </c>
      <c r="D64" s="534"/>
      <c r="E64" s="534"/>
      <c r="F64" s="534"/>
      <c r="G64" s="534"/>
      <c r="H64" s="534"/>
      <c r="I64" s="534"/>
      <c r="J64" s="534"/>
      <c r="K64" s="534"/>
      <c r="L64" s="534"/>
      <c r="M64" s="535"/>
      <c r="N64" s="1151"/>
      <c r="O64" s="1151"/>
      <c r="P64" s="2626"/>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0"/>
      <c r="O65" s="1150"/>
      <c r="P65" s="2626"/>
      <c r="Q65" s="502"/>
    </row>
    <row r="66" spans="1:17" ht="15.75" thickBot="1">
      <c r="A66" s="532"/>
      <c r="B66" s="541"/>
      <c r="C66" s="542">
        <v>100</v>
      </c>
      <c r="D66" s="542">
        <f t="shared" ref="D66:I66" si="21">C66-$K10</f>
        <v>98</v>
      </c>
      <c r="E66" s="542">
        <f t="shared" si="21"/>
        <v>96</v>
      </c>
      <c r="F66" s="542">
        <f t="shared" si="21"/>
        <v>94</v>
      </c>
      <c r="G66" s="542">
        <f t="shared" si="21"/>
        <v>92</v>
      </c>
      <c r="H66" s="542">
        <f t="shared" si="21"/>
        <v>90</v>
      </c>
      <c r="I66" s="542">
        <f t="shared" si="21"/>
        <v>88</v>
      </c>
      <c r="J66" s="542"/>
      <c r="K66" s="542"/>
      <c r="L66" s="542"/>
      <c r="M66" s="543"/>
      <c r="N66" s="1151"/>
      <c r="O66" s="1151"/>
      <c r="P66" s="2626"/>
      <c r="Q66" s="502"/>
    </row>
    <row r="67" spans="1:17" ht="15.75" thickTop="1">
      <c r="A67" s="532"/>
      <c r="B67" s="544" t="s">
        <v>2558</v>
      </c>
      <c r="C67" s="545" t="str">
        <f>C68&amp;"（含）"&amp;"-"&amp;D68</f>
        <v>0（含）-1</v>
      </c>
      <c r="D67" s="545" t="str">
        <f t="shared" ref="D67:L67" si="22">D68&amp;"（含）"&amp;"-"&amp;E68</f>
        <v>1（含）-2</v>
      </c>
      <c r="E67" s="545" t="str">
        <f t="shared" si="22"/>
        <v>2（含）-3</v>
      </c>
      <c r="F67" s="545" t="str">
        <f t="shared" si="22"/>
        <v>3（含）-4</v>
      </c>
      <c r="G67" s="545" t="str">
        <f t="shared" si="22"/>
        <v>4（含）-5</v>
      </c>
      <c r="H67" s="545" t="str">
        <f t="shared" si="22"/>
        <v>5（含）-6</v>
      </c>
      <c r="I67" s="545" t="str">
        <f t="shared" si="22"/>
        <v>6（含）-7</v>
      </c>
      <c r="J67" s="545" t="str">
        <f t="shared" si="22"/>
        <v>7（含）-8</v>
      </c>
      <c r="K67" s="545" t="str">
        <f>K68&amp;"（含）"&amp;"-"&amp;L68</f>
        <v>8（含）-</v>
      </c>
      <c r="L67" s="545" t="str">
        <f t="shared" si="22"/>
        <v>（含）-</v>
      </c>
      <c r="M67" s="446" t="str">
        <f>M68&amp;"（含）"&amp;"-"&amp;P68</f>
        <v>（含）-</v>
      </c>
      <c r="N67" s="1151"/>
      <c r="O67" s="1151"/>
      <c r="P67" s="2626"/>
      <c r="Q67" s="502"/>
    </row>
    <row r="68" spans="1:17" ht="15">
      <c r="A68" s="532"/>
      <c r="B68" s="546"/>
      <c r="C68" s="547">
        <v>0</v>
      </c>
      <c r="D68" s="547">
        <f>C68+1</f>
        <v>1</v>
      </c>
      <c r="E68" s="547">
        <f t="shared" ref="E68:K68" si="23">D68+1</f>
        <v>2</v>
      </c>
      <c r="F68" s="547">
        <f t="shared" si="23"/>
        <v>3</v>
      </c>
      <c r="G68" s="547">
        <f t="shared" si="23"/>
        <v>4</v>
      </c>
      <c r="H68" s="547">
        <f t="shared" si="23"/>
        <v>5</v>
      </c>
      <c r="I68" s="547">
        <f t="shared" si="23"/>
        <v>6</v>
      </c>
      <c r="J68" s="547">
        <f t="shared" si="23"/>
        <v>7</v>
      </c>
      <c r="K68" s="547">
        <f t="shared" si="23"/>
        <v>8</v>
      </c>
      <c r="L68" s="549"/>
      <c r="M68" s="550"/>
      <c r="N68" s="1150"/>
      <c r="O68" s="1150"/>
      <c r="P68" s="2626"/>
      <c r="Q68" s="502"/>
    </row>
    <row r="69" spans="1:17" ht="15.75" thickBot="1">
      <c r="A69" s="532"/>
      <c r="B69" s="533"/>
      <c r="C69" s="542">
        <v>100</v>
      </c>
      <c r="D69" s="542">
        <f t="shared" ref="D69:M69" si="24">C69-$K11</f>
        <v>97</v>
      </c>
      <c r="E69" s="542">
        <f t="shared" si="24"/>
        <v>94</v>
      </c>
      <c r="F69" s="542">
        <f t="shared" si="24"/>
        <v>91</v>
      </c>
      <c r="G69" s="542">
        <f t="shared" si="24"/>
        <v>88</v>
      </c>
      <c r="H69" s="542">
        <f t="shared" si="24"/>
        <v>85</v>
      </c>
      <c r="I69" s="542">
        <f t="shared" si="24"/>
        <v>82</v>
      </c>
      <c r="J69" s="542">
        <f t="shared" si="24"/>
        <v>79</v>
      </c>
      <c r="K69" s="542">
        <f t="shared" si="24"/>
        <v>76</v>
      </c>
      <c r="L69" s="542">
        <f t="shared" si="24"/>
        <v>73</v>
      </c>
      <c r="M69" s="543">
        <f t="shared" si="24"/>
        <v>70</v>
      </c>
      <c r="N69" s="1151"/>
      <c r="O69" s="1151"/>
      <c r="P69" s="2626"/>
      <c r="Q69" s="502"/>
    </row>
    <row r="70" spans="1:17" s="469" customFormat="1" ht="15.75" thickTop="1">
      <c r="A70" s="551"/>
      <c r="B70" s="536">
        <f>B12</f>
        <v>111</v>
      </c>
      <c r="C70" s="552"/>
      <c r="D70" s="552"/>
      <c r="E70" s="552"/>
      <c r="F70" s="552"/>
      <c r="G70" s="552"/>
      <c r="H70" s="553"/>
      <c r="I70" s="553"/>
      <c r="J70" s="553"/>
      <c r="K70" s="553"/>
      <c r="L70" s="554"/>
      <c r="M70" s="555"/>
      <c r="N70" s="1152"/>
      <c r="O70" s="1152"/>
      <c r="P70" s="2627"/>
      <c r="Q70" s="557"/>
    </row>
    <row r="71" spans="1:17" s="469" customFormat="1" ht="15.75" thickBot="1">
      <c r="A71" s="551"/>
      <c r="B71" s="541"/>
      <c r="C71" s="558"/>
      <c r="D71" s="534"/>
      <c r="E71" s="534"/>
      <c r="F71" s="534"/>
      <c r="G71" s="534"/>
      <c r="H71" s="534"/>
      <c r="I71" s="534"/>
      <c r="J71" s="534"/>
      <c r="K71" s="534"/>
      <c r="L71" s="534"/>
      <c r="M71" s="535"/>
      <c r="N71" s="1151"/>
      <c r="O71" s="1151"/>
      <c r="P71" s="2627"/>
      <c r="Q71" s="557"/>
    </row>
    <row r="72" spans="1:17" s="469" customFormat="1" ht="15.75" thickTop="1">
      <c r="A72" s="551"/>
      <c r="B72" s="536">
        <f>B13</f>
        <v>111</v>
      </c>
      <c r="C72" s="552"/>
      <c r="D72" s="552"/>
      <c r="E72" s="552"/>
      <c r="F72" s="552"/>
      <c r="G72" s="552"/>
      <c r="H72" s="553"/>
      <c r="I72" s="553"/>
      <c r="J72" s="553"/>
      <c r="K72" s="553"/>
      <c r="L72" s="554"/>
      <c r="M72" s="555"/>
      <c r="N72" s="1152"/>
      <c r="O72" s="1152"/>
      <c r="P72" s="2628"/>
      <c r="Q72" s="559"/>
    </row>
    <row r="73" spans="1:17" s="469" customFormat="1" ht="15.75" thickBot="1">
      <c r="A73" s="551"/>
      <c r="B73" s="541"/>
      <c r="C73" s="558"/>
      <c r="D73" s="558"/>
      <c r="E73" s="558"/>
      <c r="F73" s="558"/>
      <c r="G73" s="558"/>
      <c r="H73" s="560"/>
      <c r="I73" s="560"/>
      <c r="J73" s="560"/>
      <c r="K73" s="560"/>
      <c r="L73" s="560"/>
      <c r="M73" s="561"/>
      <c r="N73" s="1152"/>
      <c r="O73" s="1152"/>
      <c r="P73" s="2627"/>
      <c r="Q73" s="557"/>
    </row>
    <row r="74" spans="1:17" s="469" customFormat="1" ht="15.75" thickTop="1">
      <c r="A74" s="551"/>
      <c r="B74" s="544">
        <f>B14</f>
        <v>111</v>
      </c>
      <c r="C74" s="552"/>
      <c r="D74" s="552"/>
      <c r="E74" s="552"/>
      <c r="F74" s="552"/>
      <c r="G74" s="521"/>
      <c r="H74" s="562"/>
      <c r="I74" s="562"/>
      <c r="J74" s="562"/>
      <c r="K74" s="562"/>
      <c r="L74" s="563"/>
      <c r="M74" s="564"/>
      <c r="N74" s="1152"/>
      <c r="O74" s="1152"/>
      <c r="P74" s="2629"/>
      <c r="Q74" s="557"/>
    </row>
    <row r="75" spans="1:17" s="469" customFormat="1" ht="15.75" thickBot="1">
      <c r="A75" s="566"/>
      <c r="B75" s="567"/>
      <c r="C75" s="568"/>
      <c r="D75" s="568"/>
      <c r="E75" s="568"/>
      <c r="F75" s="568"/>
      <c r="G75" s="568"/>
      <c r="H75" s="569"/>
      <c r="I75" s="569"/>
      <c r="J75" s="569"/>
      <c r="K75" s="569"/>
      <c r="L75" s="569"/>
      <c r="M75" s="570"/>
      <c r="N75" s="1152"/>
      <c r="O75" s="1152"/>
      <c r="P75" s="2627"/>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0"/>
      <c r="O76" s="1150"/>
      <c r="P76" s="2630"/>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1"/>
      <c r="O77" s="1151"/>
      <c r="P77" s="2626"/>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0"/>
      <c r="O78" s="1150"/>
      <c r="P78" s="2626"/>
      <c r="Q78" s="502"/>
    </row>
    <row r="79" spans="1:17" ht="15.75" thickBot="1">
      <c r="A79" s="532"/>
      <c r="B79" s="541"/>
      <c r="C79" s="542">
        <v>100</v>
      </c>
      <c r="D79" s="542">
        <f>C79-$K17</f>
        <v>95</v>
      </c>
      <c r="E79" s="542">
        <f>D79-$K17</f>
        <v>90</v>
      </c>
      <c r="F79" s="542">
        <f>E79-$K17</f>
        <v>85</v>
      </c>
      <c r="G79" s="542">
        <f>F79-$K17</f>
        <v>80</v>
      </c>
      <c r="H79" s="542"/>
      <c r="I79" s="542"/>
      <c r="J79" s="542"/>
      <c r="K79" s="542"/>
      <c r="L79" s="542"/>
      <c r="M79" s="543"/>
      <c r="N79" s="1151"/>
      <c r="O79" s="1151"/>
      <c r="P79" s="2626"/>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0"/>
      <c r="O80" s="1150"/>
      <c r="P80" s="2626"/>
      <c r="Q80" s="502"/>
    </row>
    <row r="81" spans="1:17" ht="15.75" thickBot="1">
      <c r="A81" s="532"/>
      <c r="B81" s="541"/>
      <c r="C81" s="542">
        <v>100</v>
      </c>
      <c r="D81" s="542">
        <f>C81-$K19</f>
        <v>95</v>
      </c>
      <c r="E81" s="542">
        <f>D81-$K19</f>
        <v>90</v>
      </c>
      <c r="F81" s="542">
        <f>E81-$K19</f>
        <v>85</v>
      </c>
      <c r="G81" s="542">
        <f>F81-$K19</f>
        <v>80</v>
      </c>
      <c r="H81" s="542"/>
      <c r="I81" s="542"/>
      <c r="J81" s="542"/>
      <c r="K81" s="542"/>
      <c r="L81" s="542"/>
      <c r="M81" s="543"/>
      <c r="N81" s="1151"/>
      <c r="O81" s="1151"/>
      <c r="P81" s="2626"/>
      <c r="Q81" s="502"/>
    </row>
    <row r="82" spans="1:17" ht="15.75" thickTop="1">
      <c r="A82" s="532"/>
      <c r="B82" s="544" t="s">
        <v>2099</v>
      </c>
      <c r="C82" s="537" t="s">
        <v>2604</v>
      </c>
      <c r="D82" s="537" t="s">
        <v>2605</v>
      </c>
      <c r="E82" s="537" t="s">
        <v>2606</v>
      </c>
      <c r="F82" s="537" t="s">
        <v>2607</v>
      </c>
      <c r="G82" s="537" t="s">
        <v>2608</v>
      </c>
      <c r="H82" s="537"/>
      <c r="I82" s="537"/>
      <c r="J82" s="537"/>
      <c r="K82" s="537"/>
      <c r="L82" s="537"/>
      <c r="M82" s="1380"/>
      <c r="N82" s="1151"/>
      <c r="O82" s="1151"/>
      <c r="P82" s="2626"/>
      <c r="Q82" s="502"/>
    </row>
    <row r="83" spans="1:17" ht="15.75" thickBot="1">
      <c r="A83" s="532"/>
      <c r="B83" s="544"/>
      <c r="C83" s="658">
        <v>100</v>
      </c>
      <c r="D83" s="658">
        <f>C83-$K21</f>
        <v>97</v>
      </c>
      <c r="E83" s="658">
        <f t="shared" ref="E83:G83" si="25">D83-$K21</f>
        <v>94</v>
      </c>
      <c r="F83" s="658">
        <f t="shared" si="25"/>
        <v>91</v>
      </c>
      <c r="G83" s="658">
        <f t="shared" si="25"/>
        <v>88</v>
      </c>
      <c r="H83" s="658"/>
      <c r="I83" s="658"/>
      <c r="J83" s="658"/>
      <c r="K83" s="658"/>
      <c r="L83" s="658"/>
      <c r="M83" s="448"/>
      <c r="N83" s="1151"/>
      <c r="O83" s="1151"/>
      <c r="P83" s="2626"/>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0"/>
      <c r="O84" s="1150"/>
      <c r="P84" s="2626"/>
      <c r="Q84" s="502"/>
    </row>
    <row r="85" spans="1:17" ht="15.75" thickBot="1">
      <c r="A85" s="532"/>
      <c r="B85" s="541"/>
      <c r="C85" s="542">
        <v>100</v>
      </c>
      <c r="D85" s="542">
        <f>C85-$K23</f>
        <v>90</v>
      </c>
      <c r="E85" s="542">
        <f>D85-$K23</f>
        <v>80</v>
      </c>
      <c r="F85" s="542">
        <f>E85-$K23</f>
        <v>70</v>
      </c>
      <c r="G85" s="542">
        <f>F85-$K23</f>
        <v>60</v>
      </c>
      <c r="H85" s="542"/>
      <c r="I85" s="542"/>
      <c r="J85" s="542"/>
      <c r="K85" s="542"/>
      <c r="L85" s="542"/>
      <c r="M85" s="543"/>
      <c r="N85" s="1151"/>
      <c r="O85" s="1151"/>
      <c r="P85" s="2626"/>
      <c r="Q85" s="502"/>
    </row>
    <row r="86" spans="1:17" s="116" customFormat="1" ht="15.75" thickTop="1">
      <c r="A86" s="577"/>
      <c r="B86" s="536" t="s">
        <v>2610</v>
      </c>
      <c r="C86" s="552"/>
      <c r="D86" s="552"/>
      <c r="E86" s="552"/>
      <c r="F86" s="552"/>
      <c r="G86" s="552"/>
      <c r="H86" s="552"/>
      <c r="I86" s="552"/>
      <c r="J86" s="552"/>
      <c r="K86" s="552"/>
      <c r="L86" s="578"/>
      <c r="M86" s="579"/>
      <c r="N86" s="1149"/>
      <c r="O86" s="1149"/>
      <c r="P86" s="2626"/>
      <c r="Q86" s="502"/>
    </row>
    <row r="87" spans="1:17" s="116" customFormat="1" ht="15.75" thickBot="1">
      <c r="A87" s="577"/>
      <c r="B87" s="541"/>
      <c r="C87" s="580">
        <v>100</v>
      </c>
      <c r="D87" s="542">
        <f t="shared" ref="D87:M87" si="26">$C$87-($C$86-D86)*$K$25</f>
        <v>100</v>
      </c>
      <c r="E87" s="542">
        <f t="shared" si="26"/>
        <v>100</v>
      </c>
      <c r="F87" s="542">
        <f t="shared" si="26"/>
        <v>100</v>
      </c>
      <c r="G87" s="542">
        <f t="shared" si="26"/>
        <v>100</v>
      </c>
      <c r="H87" s="542">
        <f t="shared" si="26"/>
        <v>100</v>
      </c>
      <c r="I87" s="542">
        <f t="shared" si="26"/>
        <v>100</v>
      </c>
      <c r="J87" s="542">
        <f t="shared" si="26"/>
        <v>100</v>
      </c>
      <c r="K87" s="542">
        <f t="shared" si="26"/>
        <v>100</v>
      </c>
      <c r="L87" s="542">
        <f t="shared" si="26"/>
        <v>100</v>
      </c>
      <c r="M87" s="542">
        <f t="shared" si="26"/>
        <v>100</v>
      </c>
      <c r="N87" s="1151"/>
      <c r="O87" s="1151"/>
      <c r="P87" s="2626"/>
      <c r="Q87" s="502"/>
    </row>
    <row r="88" spans="1:17" s="116" customFormat="1" ht="15.75" thickTop="1">
      <c r="A88" s="577"/>
      <c r="B88" s="536" t="s">
        <v>2611</v>
      </c>
      <c r="C88" s="552"/>
      <c r="D88" s="552"/>
      <c r="E88" s="552"/>
      <c r="F88" s="2631"/>
      <c r="G88" s="552"/>
      <c r="H88" s="552"/>
      <c r="I88" s="552"/>
      <c r="J88" s="552"/>
      <c r="K88" s="552"/>
      <c r="L88" s="552"/>
      <c r="M88" s="579"/>
      <c r="N88" s="1149"/>
      <c r="O88" s="1149"/>
      <c r="P88" s="2626"/>
      <c r="Q88" s="502"/>
    </row>
    <row r="89" spans="1:17" s="116" customFormat="1" ht="15.75" thickBot="1">
      <c r="A89" s="577"/>
      <c r="B89" s="541"/>
      <c r="C89" s="580">
        <v>100</v>
      </c>
      <c r="D89" s="542">
        <f t="shared" ref="D89:M89" si="27">C89-$K26</f>
        <v>100</v>
      </c>
      <c r="E89" s="542">
        <f t="shared" si="27"/>
        <v>100</v>
      </c>
      <c r="F89" s="542">
        <f t="shared" si="27"/>
        <v>100</v>
      </c>
      <c r="G89" s="542">
        <f t="shared" si="27"/>
        <v>100</v>
      </c>
      <c r="H89" s="542">
        <f t="shared" si="27"/>
        <v>100</v>
      </c>
      <c r="I89" s="542">
        <f t="shared" si="27"/>
        <v>100</v>
      </c>
      <c r="J89" s="542">
        <f t="shared" si="27"/>
        <v>100</v>
      </c>
      <c r="K89" s="542">
        <f t="shared" si="27"/>
        <v>100</v>
      </c>
      <c r="L89" s="542">
        <f t="shared" si="27"/>
        <v>100</v>
      </c>
      <c r="M89" s="542">
        <f t="shared" si="27"/>
        <v>100</v>
      </c>
      <c r="N89" s="1151"/>
      <c r="O89" s="1151"/>
      <c r="P89" s="2626"/>
      <c r="Q89" s="502"/>
    </row>
    <row r="90" spans="1:17" s="469" customFormat="1" ht="15.75" thickTop="1">
      <c r="A90" s="551"/>
      <c r="B90" s="536">
        <f>B27</f>
        <v>111</v>
      </c>
      <c r="C90" s="552"/>
      <c r="D90" s="552"/>
      <c r="E90" s="552"/>
      <c r="F90" s="552"/>
      <c r="G90" s="552"/>
      <c r="H90" s="553"/>
      <c r="I90" s="553"/>
      <c r="J90" s="553"/>
      <c r="K90" s="553"/>
      <c r="L90" s="554"/>
      <c r="M90" s="555"/>
      <c r="N90" s="1152"/>
      <c r="O90" s="1152"/>
      <c r="P90" s="2627"/>
      <c r="Q90" s="557"/>
    </row>
    <row r="91" spans="1:17" s="469" customFormat="1" ht="15.75" thickBot="1">
      <c r="A91" s="551"/>
      <c r="B91" s="541"/>
      <c r="C91" s="558"/>
      <c r="D91" s="558"/>
      <c r="E91" s="558"/>
      <c r="F91" s="558"/>
      <c r="G91" s="558"/>
      <c r="H91" s="560"/>
      <c r="I91" s="560"/>
      <c r="J91" s="560"/>
      <c r="K91" s="560"/>
      <c r="L91" s="560"/>
      <c r="M91" s="561"/>
      <c r="N91" s="1152"/>
      <c r="O91" s="1152"/>
      <c r="P91" s="2627"/>
      <c r="Q91" s="557"/>
    </row>
    <row r="92" spans="1:17" ht="15.75" thickTop="1">
      <c r="A92" s="532"/>
      <c r="B92" s="536">
        <f>B28</f>
        <v>111</v>
      </c>
      <c r="C92" s="552"/>
      <c r="D92" s="552"/>
      <c r="E92" s="552"/>
      <c r="F92" s="552"/>
      <c r="G92" s="581"/>
      <c r="H92" s="581"/>
      <c r="I92" s="581"/>
      <c r="J92" s="581"/>
      <c r="K92" s="582"/>
      <c r="L92" s="583"/>
      <c r="M92" s="584"/>
      <c r="N92" s="1150"/>
      <c r="O92" s="1150"/>
      <c r="P92" s="2626"/>
      <c r="Q92" s="502"/>
    </row>
    <row r="93" spans="1:17" ht="15.75" thickBot="1">
      <c r="A93" s="532"/>
      <c r="B93" s="541"/>
      <c r="C93" s="558"/>
      <c r="D93" s="534"/>
      <c r="E93" s="534"/>
      <c r="F93" s="534"/>
      <c r="G93" s="534"/>
      <c r="H93" s="534"/>
      <c r="I93" s="534"/>
      <c r="J93" s="534"/>
      <c r="K93" s="534"/>
      <c r="L93" s="534"/>
      <c r="M93" s="535"/>
      <c r="N93" s="1151"/>
      <c r="O93" s="1151"/>
      <c r="P93" s="2626"/>
      <c r="Q93" s="502"/>
    </row>
    <row r="94" spans="1:17" ht="15.75" thickTop="1">
      <c r="A94" s="532"/>
      <c r="B94" s="536">
        <f>B29</f>
        <v>111</v>
      </c>
      <c r="C94" s="552"/>
      <c r="D94" s="552"/>
      <c r="E94" s="552"/>
      <c r="F94" s="552"/>
      <c r="G94" s="581"/>
      <c r="H94" s="581"/>
      <c r="I94" s="581"/>
      <c r="J94" s="581"/>
      <c r="K94" s="582"/>
      <c r="L94" s="583"/>
      <c r="M94" s="584"/>
      <c r="N94" s="1150"/>
      <c r="O94" s="1150"/>
      <c r="P94" s="2626"/>
      <c r="Q94" s="502"/>
    </row>
    <row r="95" spans="1:17" ht="15.75" thickBot="1">
      <c r="A95" s="532"/>
      <c r="B95" s="541"/>
      <c r="C95" s="558"/>
      <c r="D95" s="558"/>
      <c r="E95" s="558"/>
      <c r="F95" s="558"/>
      <c r="G95" s="534"/>
      <c r="H95" s="534"/>
      <c r="I95" s="534"/>
      <c r="J95" s="534"/>
      <c r="K95" s="534"/>
      <c r="L95" s="534"/>
      <c r="M95" s="535"/>
      <c r="N95" s="1151"/>
      <c r="O95" s="1151"/>
      <c r="P95" s="2626"/>
      <c r="Q95" s="502"/>
    </row>
    <row r="96" spans="1:17" ht="15.75" thickTop="1">
      <c r="A96" s="532"/>
      <c r="B96" s="536">
        <f>B30</f>
        <v>111</v>
      </c>
      <c r="C96" s="552"/>
      <c r="D96" s="552"/>
      <c r="E96" s="552"/>
      <c r="F96" s="552"/>
      <c r="G96" s="581"/>
      <c r="H96" s="581"/>
      <c r="I96" s="581"/>
      <c r="J96" s="581"/>
      <c r="K96" s="582"/>
      <c r="L96" s="583"/>
      <c r="M96" s="584"/>
      <c r="N96" s="1150"/>
      <c r="O96" s="1150"/>
      <c r="P96" s="2626"/>
      <c r="Q96" s="502"/>
    </row>
    <row r="97" spans="1:17" ht="15.75" thickBot="1">
      <c r="A97" s="532"/>
      <c r="B97" s="541"/>
      <c r="C97" s="568"/>
      <c r="D97" s="568"/>
      <c r="E97" s="568"/>
      <c r="F97" s="568"/>
      <c r="G97" s="534"/>
      <c r="H97" s="534"/>
      <c r="I97" s="534"/>
      <c r="J97" s="534"/>
      <c r="K97" s="534"/>
      <c r="L97" s="534"/>
      <c r="M97" s="535"/>
      <c r="N97" s="1151"/>
      <c r="O97" s="1151"/>
      <c r="P97" s="2626"/>
      <c r="Q97" s="502"/>
    </row>
    <row r="98" spans="1:17" ht="15.75" thickTop="1">
      <c r="A98" s="532"/>
      <c r="B98" s="544">
        <f>B31</f>
        <v>111</v>
      </c>
      <c r="C98" s="585"/>
      <c r="D98" s="585"/>
      <c r="E98" s="585"/>
      <c r="F98" s="585"/>
      <c r="G98" s="585"/>
      <c r="H98" s="585"/>
      <c r="I98" s="585"/>
      <c r="J98" s="585"/>
      <c r="K98" s="586"/>
      <c r="L98" s="587"/>
      <c r="M98" s="588"/>
      <c r="N98" s="1150"/>
      <c r="O98" s="1150"/>
      <c r="P98" s="2626"/>
      <c r="Q98" s="502"/>
    </row>
    <row r="99" spans="1:17" ht="15.75" thickBot="1">
      <c r="A99" s="2632"/>
      <c r="B99" s="567"/>
      <c r="C99" s="589"/>
      <c r="D99" s="589"/>
      <c r="E99" s="589"/>
      <c r="F99" s="589"/>
      <c r="G99" s="589"/>
      <c r="H99" s="589"/>
      <c r="I99" s="589"/>
      <c r="J99" s="589"/>
      <c r="K99" s="589"/>
      <c r="L99" s="589"/>
      <c r="M99" s="590"/>
      <c r="N99" s="1151"/>
      <c r="O99" s="1151"/>
      <c r="P99" s="2626"/>
      <c r="Q99" s="502"/>
    </row>
    <row r="100" spans="1:17">
      <c r="A100" s="525" t="s">
        <v>2563</v>
      </c>
      <c r="B100" s="526" t="s">
        <v>2612</v>
      </c>
      <c r="C100" s="2972" t="s">
        <v>3163</v>
      </c>
      <c r="D100" s="528"/>
      <c r="E100" s="528"/>
      <c r="F100" s="528"/>
      <c r="G100" s="528"/>
      <c r="H100" s="528"/>
      <c r="I100" s="528"/>
      <c r="J100" s="528"/>
      <c r="K100" s="529"/>
      <c r="L100" s="530"/>
      <c r="M100" s="531"/>
      <c r="N100" s="1150"/>
      <c r="O100" s="1150"/>
      <c r="P100" s="2626"/>
      <c r="Q100" s="502"/>
    </row>
    <row r="101" spans="1:17" ht="15.75" thickBot="1">
      <c r="A101" s="532"/>
      <c r="B101" s="541"/>
      <c r="C101" s="542">
        <v>100</v>
      </c>
      <c r="D101" s="542">
        <f t="shared" ref="D101:M101" si="28">C101-$K32</f>
        <v>98</v>
      </c>
      <c r="E101" s="542">
        <f t="shared" si="28"/>
        <v>96</v>
      </c>
      <c r="F101" s="542">
        <f t="shared" si="28"/>
        <v>94</v>
      </c>
      <c r="G101" s="542">
        <f t="shared" si="28"/>
        <v>92</v>
      </c>
      <c r="H101" s="542">
        <f t="shared" si="28"/>
        <v>90</v>
      </c>
      <c r="I101" s="542">
        <f t="shared" si="28"/>
        <v>88</v>
      </c>
      <c r="J101" s="542">
        <f t="shared" si="28"/>
        <v>86</v>
      </c>
      <c r="K101" s="542">
        <f t="shared" si="28"/>
        <v>84</v>
      </c>
      <c r="L101" s="542">
        <f t="shared" si="28"/>
        <v>82</v>
      </c>
      <c r="M101" s="542">
        <f t="shared" si="28"/>
        <v>80</v>
      </c>
      <c r="N101" s="1151"/>
      <c r="O101" s="1151"/>
      <c r="P101" s="2626"/>
      <c r="Q101" s="502"/>
    </row>
    <row r="102" spans="1:17" ht="29.25" thickTop="1">
      <c r="A102" s="532"/>
      <c r="B102" s="536" t="s">
        <v>2613</v>
      </c>
      <c r="C102" s="576" t="str">
        <f>C103&amp;"(含)"&amp;"-"&amp;D103</f>
        <v>0(含)-500000</v>
      </c>
      <c r="D102" s="576" t="str">
        <f t="shared" ref="D102:L102" si="29">D103&amp;"(含)"&amp;"-"&amp;E103</f>
        <v>500000(含)-1000000</v>
      </c>
      <c r="E102" s="576" t="str">
        <f t="shared" si="29"/>
        <v>1000000(含)-1500000</v>
      </c>
      <c r="F102" s="576" t="str">
        <f t="shared" si="29"/>
        <v>1500000(含)-2000000</v>
      </c>
      <c r="G102" s="576" t="str">
        <f t="shared" si="29"/>
        <v>2000000(含)-2500000</v>
      </c>
      <c r="H102" s="576" t="str">
        <f t="shared" si="29"/>
        <v>2500000(含)-3000000</v>
      </c>
      <c r="I102" s="576" t="str">
        <f t="shared" si="29"/>
        <v>3000000(含)-3500000</v>
      </c>
      <c r="J102" s="576" t="str">
        <f t="shared" si="29"/>
        <v>3500000(含)-4000000</v>
      </c>
      <c r="K102" s="576" t="str">
        <f>K103&amp;"(含)"&amp;"-"&amp;L103</f>
        <v>4000000(含)-</v>
      </c>
      <c r="L102" s="576" t="str">
        <f t="shared" si="29"/>
        <v>(含)-</v>
      </c>
      <c r="M102" s="576" t="str">
        <f>M103&amp;"(含)"&amp;"-"&amp;P103</f>
        <v>(含)-</v>
      </c>
      <c r="N102" s="1149"/>
      <c r="O102" s="1149"/>
      <c r="P102" s="2626"/>
      <c r="Q102" s="502"/>
    </row>
    <row r="103" spans="1:17" s="469" customFormat="1">
      <c r="A103" s="591"/>
      <c r="B103" s="592"/>
      <c r="C103" s="593">
        <v>0</v>
      </c>
      <c r="D103" s="593">
        <f>C103+500000</f>
        <v>500000</v>
      </c>
      <c r="E103" s="593">
        <f t="shared" ref="E103:K103" si="30">D103+500000</f>
        <v>1000000</v>
      </c>
      <c r="F103" s="593">
        <f t="shared" si="30"/>
        <v>1500000</v>
      </c>
      <c r="G103" s="593">
        <f t="shared" si="30"/>
        <v>2000000</v>
      </c>
      <c r="H103" s="593">
        <f t="shared" si="30"/>
        <v>2500000</v>
      </c>
      <c r="I103" s="593">
        <f t="shared" si="30"/>
        <v>3000000</v>
      </c>
      <c r="J103" s="593">
        <f t="shared" si="30"/>
        <v>3500000</v>
      </c>
      <c r="K103" s="593">
        <f t="shared" si="30"/>
        <v>4000000</v>
      </c>
      <c r="L103" s="595"/>
      <c r="M103" s="596"/>
      <c r="N103" s="1152"/>
      <c r="O103" s="1152"/>
      <c r="P103" s="2627"/>
      <c r="Q103" s="557"/>
    </row>
    <row r="104" spans="1:17" s="469" customFormat="1" ht="15.75" thickBot="1">
      <c r="A104" s="551"/>
      <c r="B104" s="541"/>
      <c r="C104" s="558">
        <v>100</v>
      </c>
      <c r="D104" s="534">
        <f>C104+1</f>
        <v>101</v>
      </c>
      <c r="E104" s="534">
        <f t="shared" ref="E104:K104" si="31">D104+1</f>
        <v>102</v>
      </c>
      <c r="F104" s="534">
        <f t="shared" si="31"/>
        <v>103</v>
      </c>
      <c r="G104" s="534">
        <f t="shared" si="31"/>
        <v>104</v>
      </c>
      <c r="H104" s="534">
        <f t="shared" si="31"/>
        <v>105</v>
      </c>
      <c r="I104" s="534">
        <f t="shared" si="31"/>
        <v>106</v>
      </c>
      <c r="J104" s="534">
        <f t="shared" si="31"/>
        <v>107</v>
      </c>
      <c r="K104" s="534">
        <f t="shared" si="31"/>
        <v>108</v>
      </c>
      <c r="L104" s="534"/>
      <c r="M104" s="534"/>
      <c r="N104" s="1151"/>
      <c r="O104" s="1151"/>
      <c r="P104" s="2627"/>
      <c r="Q104" s="557"/>
    </row>
    <row r="105" spans="1:17" ht="15" thickTop="1">
      <c r="A105" s="597"/>
      <c r="B105" s="536" t="s">
        <v>2614</v>
      </c>
      <c r="C105" s="2970" t="s">
        <v>3165</v>
      </c>
      <c r="D105" s="552"/>
      <c r="E105" s="581"/>
      <c r="F105" s="581"/>
      <c r="G105" s="581"/>
      <c r="H105" s="581"/>
      <c r="I105" s="581"/>
      <c r="J105" s="581"/>
      <c r="K105" s="582"/>
      <c r="L105" s="583"/>
      <c r="M105" s="584"/>
      <c r="N105" s="1150"/>
      <c r="O105" s="1150"/>
      <c r="P105" s="2626"/>
      <c r="Q105" s="502"/>
    </row>
    <row r="106" spans="1:17" ht="15.75" thickBot="1">
      <c r="A106" s="532"/>
      <c r="B106" s="541"/>
      <c r="C106" s="542">
        <v>100</v>
      </c>
      <c r="D106" s="542">
        <f t="shared" ref="D106:M106" si="32">C106-$K34</f>
        <v>98</v>
      </c>
      <c r="E106" s="542">
        <f t="shared" si="32"/>
        <v>96</v>
      </c>
      <c r="F106" s="542">
        <f t="shared" si="32"/>
        <v>94</v>
      </c>
      <c r="G106" s="542">
        <f t="shared" si="32"/>
        <v>92</v>
      </c>
      <c r="H106" s="542">
        <f t="shared" si="32"/>
        <v>90</v>
      </c>
      <c r="I106" s="542">
        <f t="shared" si="32"/>
        <v>88</v>
      </c>
      <c r="J106" s="542">
        <f t="shared" si="32"/>
        <v>86</v>
      </c>
      <c r="K106" s="542">
        <f t="shared" si="32"/>
        <v>84</v>
      </c>
      <c r="L106" s="542">
        <f t="shared" si="32"/>
        <v>82</v>
      </c>
      <c r="M106" s="542">
        <f t="shared" si="32"/>
        <v>80</v>
      </c>
      <c r="N106" s="1151"/>
      <c r="O106" s="1151"/>
      <c r="P106" s="2626"/>
      <c r="Q106" s="502"/>
    </row>
    <row r="107" spans="1:17" ht="15" thickTop="1">
      <c r="A107" s="597"/>
      <c r="B107" s="536" t="s">
        <v>2615</v>
      </c>
      <c r="C107" s="2973" t="s">
        <v>3167</v>
      </c>
      <c r="D107" s="2973" t="s">
        <v>3205</v>
      </c>
      <c r="E107" s="581"/>
      <c r="F107" s="581"/>
      <c r="G107" s="581"/>
      <c r="H107" s="581"/>
      <c r="I107" s="581"/>
      <c r="J107" s="581"/>
      <c r="K107" s="582"/>
      <c r="L107" s="583"/>
      <c r="M107" s="584"/>
      <c r="N107" s="1150"/>
      <c r="O107" s="1150"/>
      <c r="P107" s="2626"/>
      <c r="Q107" s="502"/>
    </row>
    <row r="108" spans="1:17" ht="15.75" thickBot="1">
      <c r="A108" s="532"/>
      <c r="B108" s="541"/>
      <c r="C108" s="542">
        <v>100</v>
      </c>
      <c r="D108" s="542">
        <f t="shared" ref="D108:M108" si="33">C108-$K35</f>
        <v>90</v>
      </c>
      <c r="E108" s="542">
        <f t="shared" si="33"/>
        <v>80</v>
      </c>
      <c r="F108" s="542">
        <f t="shared" si="33"/>
        <v>70</v>
      </c>
      <c r="G108" s="542">
        <f t="shared" si="33"/>
        <v>60</v>
      </c>
      <c r="H108" s="542">
        <f t="shared" si="33"/>
        <v>50</v>
      </c>
      <c r="I108" s="542">
        <f t="shared" si="33"/>
        <v>40</v>
      </c>
      <c r="J108" s="542">
        <f t="shared" si="33"/>
        <v>30</v>
      </c>
      <c r="K108" s="542">
        <f t="shared" si="33"/>
        <v>20</v>
      </c>
      <c r="L108" s="542">
        <f t="shared" si="33"/>
        <v>10</v>
      </c>
      <c r="M108" s="542">
        <f t="shared" si="33"/>
        <v>0</v>
      </c>
      <c r="N108" s="1151"/>
      <c r="O108" s="1151"/>
      <c r="P108" s="2626"/>
      <c r="Q108" s="502"/>
    </row>
    <row r="109" spans="1:17" ht="15" thickTop="1">
      <c r="A109" s="597"/>
      <c r="B109" s="536" t="s">
        <v>2616</v>
      </c>
      <c r="C109" s="2970" t="s">
        <v>3169</v>
      </c>
      <c r="D109" s="552"/>
      <c r="E109" s="552"/>
      <c r="F109" s="581"/>
      <c r="G109" s="581"/>
      <c r="H109" s="581"/>
      <c r="I109" s="581"/>
      <c r="J109" s="581"/>
      <c r="K109" s="582"/>
      <c r="L109" s="583"/>
      <c r="M109" s="584"/>
      <c r="N109" s="1150"/>
      <c r="O109" s="1150"/>
      <c r="P109" s="2626"/>
      <c r="Q109" s="502"/>
    </row>
    <row r="110" spans="1:17" ht="15.75" thickBot="1">
      <c r="A110" s="532"/>
      <c r="B110" s="541"/>
      <c r="C110" s="542">
        <v>100</v>
      </c>
      <c r="D110" s="542">
        <f t="shared" ref="D110:M110" si="34">C110-$K36</f>
        <v>98</v>
      </c>
      <c r="E110" s="542">
        <f t="shared" si="34"/>
        <v>96</v>
      </c>
      <c r="F110" s="542">
        <f t="shared" si="34"/>
        <v>94</v>
      </c>
      <c r="G110" s="542">
        <f t="shared" si="34"/>
        <v>92</v>
      </c>
      <c r="H110" s="542">
        <f t="shared" si="34"/>
        <v>90</v>
      </c>
      <c r="I110" s="542">
        <f t="shared" si="34"/>
        <v>88</v>
      </c>
      <c r="J110" s="542">
        <f t="shared" si="34"/>
        <v>86</v>
      </c>
      <c r="K110" s="542">
        <f t="shared" si="34"/>
        <v>84</v>
      </c>
      <c r="L110" s="542">
        <f t="shared" si="34"/>
        <v>82</v>
      </c>
      <c r="M110" s="542">
        <f t="shared" si="34"/>
        <v>80</v>
      </c>
      <c r="N110" s="1151"/>
      <c r="O110" s="1151"/>
      <c r="P110" s="2626"/>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7"/>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52"/>
      <c r="O113" s="1152"/>
      <c r="P113" s="2627"/>
      <c r="Q113" s="557"/>
    </row>
    <row r="114" spans="1:17" ht="15" thickTop="1">
      <c r="A114" s="597"/>
      <c r="B114" s="536" t="s">
        <v>2617</v>
      </c>
      <c r="C114" s="2970" t="s">
        <v>3171</v>
      </c>
      <c r="D114" s="552"/>
      <c r="E114" s="581"/>
      <c r="F114" s="581"/>
      <c r="G114" s="581"/>
      <c r="H114" s="581"/>
      <c r="I114" s="581"/>
      <c r="J114" s="581"/>
      <c r="K114" s="582"/>
      <c r="L114" s="583"/>
      <c r="M114" s="584"/>
      <c r="N114" s="1150"/>
      <c r="O114" s="1150"/>
      <c r="P114" s="2626"/>
      <c r="Q114" s="502"/>
    </row>
    <row r="115" spans="1:17" ht="15.75" thickBot="1">
      <c r="A115" s="532"/>
      <c r="B115" s="541"/>
      <c r="C115" s="542">
        <v>100</v>
      </c>
      <c r="D115" s="542">
        <f t="shared" ref="D115:M115" si="35">C115-$K38</f>
        <v>98</v>
      </c>
      <c r="E115" s="542">
        <f t="shared" si="35"/>
        <v>96</v>
      </c>
      <c r="F115" s="542">
        <f t="shared" si="35"/>
        <v>94</v>
      </c>
      <c r="G115" s="542">
        <f t="shared" si="35"/>
        <v>92</v>
      </c>
      <c r="H115" s="542">
        <f t="shared" si="35"/>
        <v>90</v>
      </c>
      <c r="I115" s="542">
        <f t="shared" si="35"/>
        <v>88</v>
      </c>
      <c r="J115" s="542">
        <f t="shared" si="35"/>
        <v>86</v>
      </c>
      <c r="K115" s="542">
        <f t="shared" si="35"/>
        <v>84</v>
      </c>
      <c r="L115" s="542">
        <f t="shared" si="35"/>
        <v>82</v>
      </c>
      <c r="M115" s="542">
        <f t="shared" si="35"/>
        <v>80</v>
      </c>
      <c r="N115" s="1151"/>
      <c r="O115" s="1151"/>
      <c r="P115" s="2626"/>
      <c r="Q115" s="502"/>
    </row>
    <row r="116" spans="1:17" ht="15" thickTop="1">
      <c r="A116" s="597"/>
      <c r="B116" s="536" t="s">
        <v>2618</v>
      </c>
      <c r="C116" s="552"/>
      <c r="D116" s="552"/>
      <c r="E116" s="552"/>
      <c r="F116" s="552"/>
      <c r="G116" s="552"/>
      <c r="H116" s="581"/>
      <c r="I116" s="581"/>
      <c r="J116" s="581"/>
      <c r="K116" s="582"/>
      <c r="L116" s="583"/>
      <c r="M116" s="584"/>
      <c r="N116" s="1150"/>
      <c r="O116" s="1150"/>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6"/>
      <c r="Q117" s="502"/>
    </row>
    <row r="118" spans="1:17" ht="15" thickTop="1">
      <c r="A118" s="597"/>
      <c r="B118" s="536" t="s">
        <v>2619</v>
      </c>
      <c r="C118" s="581"/>
      <c r="D118" s="581"/>
      <c r="E118" s="581"/>
      <c r="F118" s="581"/>
      <c r="G118" s="581"/>
      <c r="H118" s="581"/>
      <c r="I118" s="581"/>
      <c r="J118" s="581"/>
      <c r="K118" s="582"/>
      <c r="L118" s="583"/>
      <c r="M118" s="584"/>
      <c r="N118" s="1150"/>
      <c r="O118" s="1150"/>
      <c r="P118" s="2626"/>
      <c r="Q118" s="502"/>
    </row>
    <row r="119" spans="1:17" ht="15.75" thickBot="1">
      <c r="A119" s="532"/>
      <c r="B119" s="541"/>
      <c r="C119" s="542">
        <v>100</v>
      </c>
      <c r="D119" s="542">
        <f t="shared" ref="D119:M119" si="36">C119-$K40</f>
        <v>100</v>
      </c>
      <c r="E119" s="542">
        <f t="shared" si="36"/>
        <v>100</v>
      </c>
      <c r="F119" s="542">
        <f t="shared" si="36"/>
        <v>100</v>
      </c>
      <c r="G119" s="542">
        <f t="shared" si="36"/>
        <v>100</v>
      </c>
      <c r="H119" s="542">
        <f t="shared" si="36"/>
        <v>100</v>
      </c>
      <c r="I119" s="542">
        <f t="shared" si="36"/>
        <v>100</v>
      </c>
      <c r="J119" s="542">
        <f t="shared" si="36"/>
        <v>100</v>
      </c>
      <c r="K119" s="542">
        <f t="shared" si="36"/>
        <v>100</v>
      </c>
      <c r="L119" s="542">
        <f t="shared" si="36"/>
        <v>100</v>
      </c>
      <c r="M119" s="542">
        <f t="shared" si="36"/>
        <v>100</v>
      </c>
      <c r="N119" s="1151"/>
      <c r="O119" s="1151"/>
      <c r="P119" s="2626"/>
      <c r="Q119" s="502"/>
    </row>
    <row r="120" spans="1:17" s="469" customFormat="1" ht="28.5" thickTop="1">
      <c r="A120" s="591"/>
      <c r="B120" s="536" t="s">
        <v>2574</v>
      </c>
      <c r="C120" s="552"/>
      <c r="D120" s="552"/>
      <c r="E120" s="552"/>
      <c r="F120" s="552"/>
      <c r="G120" s="552"/>
      <c r="H120" s="552"/>
      <c r="I120" s="552"/>
      <c r="J120" s="552"/>
      <c r="K120" s="552"/>
      <c r="L120" s="578"/>
      <c r="M120" s="579"/>
      <c r="N120" s="1152"/>
      <c r="O120" s="1152"/>
      <c r="P120" s="2627"/>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7"/>
      <c r="Q121" s="557"/>
    </row>
    <row r="122" spans="1:17" ht="15" thickTop="1">
      <c r="A122" s="597"/>
      <c r="B122" s="536" t="s">
        <v>2620</v>
      </c>
      <c r="C122" s="2970" t="s">
        <v>3172</v>
      </c>
      <c r="D122" s="2970" t="s">
        <v>3173</v>
      </c>
      <c r="E122" s="2970" t="s">
        <v>3174</v>
      </c>
      <c r="F122" s="2973" t="s">
        <v>3175</v>
      </c>
      <c r="G122" s="2973" t="s">
        <v>3176</v>
      </c>
      <c r="H122" s="581"/>
      <c r="I122" s="581"/>
      <c r="J122" s="581"/>
      <c r="K122" s="582"/>
      <c r="L122" s="583"/>
      <c r="M122" s="584"/>
      <c r="N122" s="1150"/>
      <c r="O122" s="1150"/>
      <c r="P122" s="2626"/>
      <c r="Q122" s="502"/>
    </row>
    <row r="123" spans="1:17" ht="15.75" thickBot="1">
      <c r="A123" s="532"/>
      <c r="B123" s="541"/>
      <c r="C123" s="542">
        <v>100</v>
      </c>
      <c r="D123" s="542">
        <f t="shared" ref="D123:M123" si="37">C123-$K42</f>
        <v>94</v>
      </c>
      <c r="E123" s="542">
        <f t="shared" si="37"/>
        <v>88</v>
      </c>
      <c r="F123" s="542">
        <f t="shared" si="37"/>
        <v>82</v>
      </c>
      <c r="G123" s="542">
        <f t="shared" si="37"/>
        <v>76</v>
      </c>
      <c r="H123" s="542">
        <f t="shared" si="37"/>
        <v>70</v>
      </c>
      <c r="I123" s="542">
        <f t="shared" si="37"/>
        <v>64</v>
      </c>
      <c r="J123" s="542">
        <f t="shared" si="37"/>
        <v>58</v>
      </c>
      <c r="K123" s="542">
        <f t="shared" si="37"/>
        <v>52</v>
      </c>
      <c r="L123" s="542">
        <f t="shared" si="37"/>
        <v>46</v>
      </c>
      <c r="M123" s="542">
        <f t="shared" si="37"/>
        <v>40</v>
      </c>
      <c r="N123" s="1151"/>
      <c r="O123" s="1151"/>
      <c r="P123" s="2626"/>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0"/>
      <c r="O124" s="1150"/>
      <c r="P124" s="2627"/>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1"/>
      <c r="O125" s="1151"/>
      <c r="P125" s="2626"/>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7"/>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7"/>
      <c r="Q127" s="557"/>
    </row>
    <row r="128" spans="1:17" ht="15" thickTop="1">
      <c r="A128" s="597"/>
      <c r="B128" s="536">
        <f>B45</f>
        <v>111</v>
      </c>
      <c r="C128" s="552"/>
      <c r="D128" s="552"/>
      <c r="E128" s="552"/>
      <c r="F128" s="552"/>
      <c r="G128" s="581"/>
      <c r="H128" s="581"/>
      <c r="I128" s="581"/>
      <c r="J128" s="581"/>
      <c r="K128" s="582"/>
      <c r="L128" s="583"/>
      <c r="M128" s="584"/>
      <c r="N128" s="1150"/>
      <c r="O128" s="1150"/>
      <c r="P128" s="2626"/>
      <c r="Q128" s="502"/>
    </row>
    <row r="129" spans="1:17" ht="15.75" thickBot="1">
      <c r="A129" s="532"/>
      <c r="B129" s="541"/>
      <c r="C129" s="558"/>
      <c r="D129" s="558"/>
      <c r="E129" s="558"/>
      <c r="F129" s="558"/>
      <c r="G129" s="534"/>
      <c r="H129" s="534"/>
      <c r="I129" s="534"/>
      <c r="J129" s="534"/>
      <c r="K129" s="534"/>
      <c r="L129" s="534"/>
      <c r="M129" s="535"/>
      <c r="N129" s="1151"/>
      <c r="O129" s="1151"/>
      <c r="P129" s="2626"/>
      <c r="Q129" s="502"/>
    </row>
    <row r="130" spans="1:17" ht="15" thickTop="1">
      <c r="A130" s="597"/>
      <c r="B130" s="544">
        <f>B46</f>
        <v>111</v>
      </c>
      <c r="C130" s="552"/>
      <c r="D130" s="552"/>
      <c r="E130" s="552"/>
      <c r="F130" s="552"/>
      <c r="G130" s="585"/>
      <c r="H130" s="585"/>
      <c r="I130" s="585"/>
      <c r="J130" s="585"/>
      <c r="K130" s="521"/>
      <c r="L130" s="522"/>
      <c r="M130" s="588"/>
      <c r="N130" s="1150"/>
      <c r="O130" s="1150"/>
      <c r="P130" s="2626"/>
      <c r="Q130" s="502"/>
    </row>
    <row r="131" spans="1:17" ht="15.75" thickBot="1">
      <c r="A131" s="2632"/>
      <c r="B131" s="567"/>
      <c r="C131" s="568"/>
      <c r="D131" s="568"/>
      <c r="E131" s="568"/>
      <c r="F131" s="568"/>
      <c r="G131" s="589"/>
      <c r="H131" s="589"/>
      <c r="I131" s="589"/>
      <c r="J131" s="589"/>
      <c r="K131" s="589"/>
      <c r="L131" s="589"/>
      <c r="M131" s="590"/>
      <c r="N131" s="1151"/>
      <c r="O131" s="1151"/>
      <c r="P131" s="2626"/>
      <c r="Q131" s="502"/>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9" sqref="I39"/>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t="s">
        <v>3146</v>
      </c>
      <c r="D1" s="1818" t="s">
        <v>3182</v>
      </c>
      <c r="E1" s="1819" t="s">
        <v>1387</v>
      </c>
      <c r="F1" s="1281" t="e">
        <f ca="1">J53</f>
        <v>#N/A</v>
      </c>
      <c r="G1" s="1834"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t="e">
        <f ca="1">C40+J29+L46</f>
        <v>#N/A</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2" t="s">
        <v>1589</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t="e">
        <f ca="1">C6+C10+C12</f>
        <v>#N/A</v>
      </c>
      <c r="D5" s="1820" t="s">
        <v>1402</v>
      </c>
      <c r="E5" s="1291"/>
      <c r="F5" s="1292"/>
      <c r="G5" s="1849"/>
      <c r="H5" s="343">
        <v>1</v>
      </c>
      <c r="I5" s="344" t="s">
        <v>1401</v>
      </c>
      <c r="J5" s="1290" t="e">
        <f ca="1">J6+J10+J12</f>
        <v>#N/A</v>
      </c>
      <c r="K5" s="1820" t="s">
        <v>1402</v>
      </c>
      <c r="L5" s="1291"/>
      <c r="M5" s="1292"/>
    </row>
    <row r="6" spans="1:37" ht="18" customHeight="1">
      <c r="A6" s="1289" t="s">
        <v>1035</v>
      </c>
      <c r="B6" s="3264" t="s">
        <v>1403</v>
      </c>
      <c r="C6" s="1294" t="e">
        <f ca="1">ROUND(F6*F8*F7*(1-F9)/10000,0)</f>
        <v>#N/A</v>
      </c>
      <c r="D6" s="163" t="s">
        <v>3035</v>
      </c>
      <c r="E6" s="346" t="s">
        <v>1405</v>
      </c>
      <c r="F6" s="347" t="e">
        <f ca="1">INDIRECT("'数据-取费表'!u"&amp;$G$1)</f>
        <v>#N/A</v>
      </c>
      <c r="G6" s="1849"/>
      <c r="H6" s="1289" t="s">
        <v>1035</v>
      </c>
      <c r="I6" s="3264" t="s">
        <v>1403</v>
      </c>
      <c r="J6" s="345" t="e">
        <f ca="1">ROUND(M6*M8*M7*(1-M9)/10000,0)</f>
        <v>#N/A</v>
      </c>
      <c r="K6" s="163" t="s">
        <v>3034</v>
      </c>
      <c r="L6" s="346" t="s">
        <v>1405</v>
      </c>
      <c r="M6" s="347" t="e">
        <f ca="1">INDIRECT("'数据-取费表'!z"&amp;$G$1)</f>
        <v>#N/A</v>
      </c>
    </row>
    <row r="7" spans="1:37" ht="18" customHeight="1">
      <c r="A7" s="1293"/>
      <c r="B7" s="3265"/>
      <c r="C7" s="1295"/>
      <c r="D7" s="351"/>
      <c r="E7" s="1296" t="s">
        <v>1406</v>
      </c>
      <c r="F7" s="347" t="e">
        <f ca="1">IF(INDIRECT("'数据-取费表'!ah"&amp;$G$1)="",INDIRECT("'数据-取费表'!k"&amp;$G$1),INDIRECT("'数据-取费表'!ah"&amp;$G$1))</f>
        <v>#N/A</v>
      </c>
      <c r="G7" s="1849"/>
      <c r="H7" s="348"/>
      <c r="I7" s="3265"/>
      <c r="J7" s="350"/>
      <c r="K7" s="351"/>
      <c r="L7" s="346" t="s">
        <v>1406</v>
      </c>
      <c r="M7" s="347" t="e">
        <f ca="1">F7</f>
        <v>#N/A</v>
      </c>
    </row>
    <row r="8" spans="1:37" ht="18" customHeight="1">
      <c r="A8" s="348"/>
      <c r="B8" s="3265"/>
      <c r="C8" s="350"/>
      <c r="D8" s="351"/>
      <c r="E8" s="346" t="s">
        <v>1407</v>
      </c>
      <c r="F8" s="347" t="e">
        <f ca="1">INDIRECT("'数据-取费表'!ai"&amp;$G$1)</f>
        <v>#N/A</v>
      </c>
      <c r="G8" s="1849"/>
      <c r="H8" s="348"/>
      <c r="I8" s="3265"/>
      <c r="J8" s="350"/>
      <c r="K8" s="351"/>
      <c r="L8" s="346" t="s">
        <v>1407</v>
      </c>
      <c r="M8" s="347" t="e">
        <f ca="1">INDIRECT("'数据-取费表'!ai"&amp;$G$1)</f>
        <v>#N/A</v>
      </c>
    </row>
    <row r="9" spans="1:37" ht="18" customHeight="1">
      <c r="A9" s="348"/>
      <c r="B9" s="3266"/>
      <c r="C9" s="350"/>
      <c r="D9" s="351"/>
      <c r="E9" s="346" t="s">
        <v>1408</v>
      </c>
      <c r="F9" s="356" t="e">
        <f ca="1">INDIRECT("'数据-取费表'!w"&amp;$G$1)</f>
        <v>#N/A</v>
      </c>
      <c r="G9" s="1849"/>
      <c r="H9" s="348"/>
      <c r="I9" s="3266"/>
      <c r="J9" s="350"/>
      <c r="K9" s="351"/>
      <c r="L9" s="357" t="s">
        <v>1408</v>
      </c>
      <c r="M9" s="358" t="e">
        <f ca="1">INDIRECT("'数据-取费表'!ab"&amp;$G$1)</f>
        <v>#N/A</v>
      </c>
    </row>
    <row r="10" spans="1:37" ht="18" customHeight="1">
      <c r="A10" s="1289" t="s">
        <v>1039</v>
      </c>
      <c r="B10" s="1821" t="s">
        <v>1409</v>
      </c>
      <c r="C10" s="360" t="e">
        <f ca="1">ROUND(IF(F10="押一",F6*F8*F7/12*F11,IF(F10="押二",F6*F8*F7/12*2*F11,IF(F10="押三",F6*F8*F7/12*3*F11,C11*F11)))/10000,0)</f>
        <v>#N/A</v>
      </c>
      <c r="D10" s="1822" t="s">
        <v>3036</v>
      </c>
      <c r="E10" s="357" t="s">
        <v>1411</v>
      </c>
      <c r="F10" s="1364" t="s">
        <v>3186</v>
      </c>
      <c r="G10" s="1849"/>
      <c r="H10" s="1289" t="s">
        <v>1039</v>
      </c>
      <c r="I10" s="1821" t="s">
        <v>1409</v>
      </c>
      <c r="J10" s="345" t="e">
        <f ca="1">ROUND(IF(M10="押一",M6*M8*M7/12*M11,IF(M10="押二",M6*M8*M7/12*2*M11,IF(M10="押三",M6*M8*M7/12*3*M11,J11*M11)))/10000,0)</f>
        <v>#N/A</v>
      </c>
      <c r="K10" s="1822" t="s">
        <v>3037</v>
      </c>
      <c r="L10" s="357" t="s">
        <v>1411</v>
      </c>
      <c r="M10" s="1364" t="s">
        <v>1412</v>
      </c>
    </row>
    <row r="11" spans="1:37" ht="18" customHeight="1">
      <c r="A11" s="352"/>
      <c r="B11" s="1823" t="s">
        <v>1388</v>
      </c>
      <c r="C11" s="1176"/>
      <c r="D11" s="1824"/>
      <c r="E11" s="357" t="s">
        <v>1413</v>
      </c>
      <c r="F11" s="358">
        <f ca="1">'数据-取费表'!B39</f>
        <v>1.4999999999999999E-2</v>
      </c>
      <c r="G11" s="1849"/>
      <c r="H11" s="1297"/>
      <c r="I11" s="1823" t="s">
        <v>1388</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t="e">
        <f ca="1">ROUND(C29*F13,0)</f>
        <v>#N/A</v>
      </c>
      <c r="D13" s="1329" t="s">
        <v>1416</v>
      </c>
      <c r="E13" s="1329" t="s">
        <v>1417</v>
      </c>
      <c r="F13" s="1330" t="e">
        <f ca="1">INDIRECT("'数据-取费表'!y"&amp;$G$1)</f>
        <v>#N/A</v>
      </c>
      <c r="G13" s="1849"/>
      <c r="H13" s="1327">
        <v>2</v>
      </c>
      <c r="I13" s="1328" t="s">
        <v>1415</v>
      </c>
      <c r="J13" s="1288" t="e">
        <f ca="1">ROUND(J14*J15,0)</f>
        <v>#N/A</v>
      </c>
      <c r="K13" s="1335" t="s">
        <v>1416</v>
      </c>
      <c r="L13" s="1850"/>
      <c r="M13" s="1851"/>
    </row>
    <row r="14" spans="1:37" ht="18" customHeight="1">
      <c r="A14" s="1199" t="s">
        <v>1034</v>
      </c>
      <c r="B14" s="346" t="s">
        <v>1418</v>
      </c>
      <c r="C14" s="362" t="e">
        <f ca="1">INDIRECT("'数据-取费表'!m"&amp;$G$1)+INDIRECT("'数据-取费表'!t"&amp;$G$1)</f>
        <v>#N/A</v>
      </c>
      <c r="D14" s="1798" t="s">
        <v>1419</v>
      </c>
      <c r="E14" s="1792"/>
      <c r="F14" s="363"/>
      <c r="G14" s="1849"/>
      <c r="H14" s="1199" t="s">
        <v>1035</v>
      </c>
      <c r="I14" s="346" t="s">
        <v>1420</v>
      </c>
      <c r="J14" s="23" t="e">
        <f ca="1">C29</f>
        <v>#N/A</v>
      </c>
      <c r="K14" s="14"/>
      <c r="L14" s="977"/>
      <c r="M14" s="978"/>
    </row>
    <row r="15" spans="1:37" s="1856" customFormat="1" ht="18" customHeight="1" thickBot="1">
      <c r="A15" s="1199" t="s">
        <v>1036</v>
      </c>
      <c r="B15" s="346" t="s">
        <v>1421</v>
      </c>
      <c r="C15" s="23" t="e">
        <f ca="1">ROUND(C14*F15,0)</f>
        <v>#N/A</v>
      </c>
      <c r="D15" s="364" t="s">
        <v>1422</v>
      </c>
      <c r="E15" s="364" t="s">
        <v>1423</v>
      </c>
      <c r="F15" s="365">
        <f>'数据-取费表'!B33</f>
        <v>0.03</v>
      </c>
      <c r="G15" s="1852"/>
      <c r="H15" s="1337" t="s">
        <v>1039</v>
      </c>
      <c r="I15" s="1338" t="s">
        <v>1417</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t="e">
        <f ca="1">ROUND(INDIRECT("'数据-取费表'!m"&amp;$G$1)*F16,0)</f>
        <v>#N/A</v>
      </c>
      <c r="D16" s="346" t="s">
        <v>1422</v>
      </c>
      <c r="E16" s="346" t="s">
        <v>1423</v>
      </c>
      <c r="F16" s="366" t="e">
        <f ca="1">IF(INDIRECT("'数据-取费表'!c"&amp;$G$1)="住宅",'数据-取费表'!B34,0)</f>
        <v>#N/A</v>
      </c>
      <c r="G16" s="1849"/>
      <c r="H16" s="1327" t="s">
        <v>1030</v>
      </c>
      <c r="I16" s="1328" t="s">
        <v>1425</v>
      </c>
      <c r="J16" s="354" t="e">
        <f ca="1">ROUND(J17+J22+J23+J24,0)</f>
        <v>#N/A</v>
      </c>
      <c r="K16" s="1335" t="s">
        <v>1426</v>
      </c>
      <c r="L16" s="1336"/>
      <c r="M16" s="1292"/>
    </row>
    <row r="17" spans="1:37" s="1856" customFormat="1" ht="18" customHeight="1">
      <c r="A17" s="1199" t="s">
        <v>1390</v>
      </c>
      <c r="B17" s="346" t="s">
        <v>1427</v>
      </c>
      <c r="C17" s="23" t="e">
        <f ca="1">ROUND(F17*(F43+INDIRECT("'数据-取费表'!S"&amp;$G$1))/10000,0)</f>
        <v>#N/A</v>
      </c>
      <c r="D17" s="346" t="s">
        <v>1428</v>
      </c>
      <c r="E17" s="346" t="s">
        <v>1429</v>
      </c>
      <c r="F17" s="25">
        <f>'数据-取费表'!B35</f>
        <v>200</v>
      </c>
      <c r="G17" s="1852"/>
      <c r="H17" s="1199" t="s">
        <v>1035</v>
      </c>
      <c r="I17" s="346" t="s">
        <v>1430</v>
      </c>
      <c r="J17" s="23" t="e">
        <f ca="1">ROUND(IF(项目基本情况!B11="自然人",J5*M17,J18+J19+J20),1)</f>
        <v>#N/A</v>
      </c>
      <c r="K17" s="1798" t="s">
        <v>1431</v>
      </c>
      <c r="L17" s="1796"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t="e">
        <f ca="1">ROUND(C14*F18,0)</f>
        <v>#N/A</v>
      </c>
      <c r="D18" s="346" t="s">
        <v>1422</v>
      </c>
      <c r="E18" s="346" t="s">
        <v>1423</v>
      </c>
      <c r="F18" s="366">
        <f>'数据-取费表'!B36</f>
        <v>1.4999999999999999E-2</v>
      </c>
      <c r="G18" s="1852"/>
      <c r="H18" s="1199" t="s">
        <v>1034</v>
      </c>
      <c r="I18" s="346" t="s">
        <v>1434</v>
      </c>
      <c r="J18" s="23" t="e">
        <f ca="1">ROUND(J5*M18/(1+'数据-取费表'!C42),2)</f>
        <v>#N/A</v>
      </c>
      <c r="K18" s="1796"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t="e">
        <f ca="1">SUM(C14:C18)</f>
        <v>#N/A</v>
      </c>
      <c r="D19" s="139" t="s">
        <v>1437</v>
      </c>
      <c r="E19" s="1816"/>
      <c r="F19" s="25"/>
      <c r="G19" s="1849"/>
      <c r="H19" s="1199" t="s">
        <v>1036</v>
      </c>
      <c r="I19" s="346" t="s">
        <v>1438</v>
      </c>
      <c r="J19" s="23" t="e">
        <f ca="1">IF(K19="按租金收入计税",ROUND(J5*M19,2),ROUND(C29*M19*0.7,2))</f>
        <v>#N/A</v>
      </c>
      <c r="K19" s="1826" t="s">
        <v>1439</v>
      </c>
      <c r="L19" s="346" t="s">
        <v>1423</v>
      </c>
      <c r="M19" s="366">
        <f>IF(K19="按租金收入计税",'数据-取费表'!B51,'数据-取费表'!B50)</f>
        <v>1.2E-2</v>
      </c>
    </row>
    <row r="20" spans="1:37" s="1856" customFormat="1" ht="18" customHeight="1">
      <c r="A20" s="1199" t="s">
        <v>1039</v>
      </c>
      <c r="B20" s="346" t="s">
        <v>1440</v>
      </c>
      <c r="C20" s="23" t="e">
        <f ca="1">ROUND(C19*F20,0)</f>
        <v>#N/A</v>
      </c>
      <c r="D20" s="368" t="s">
        <v>1441</v>
      </c>
      <c r="E20" s="346" t="s">
        <v>1423</v>
      </c>
      <c r="F20" s="366">
        <f>'数据-取费表'!B37</f>
        <v>0.02</v>
      </c>
      <c r="G20" s="1852"/>
      <c r="H20" s="1199" t="s">
        <v>1389</v>
      </c>
      <c r="I20" s="163" t="s">
        <v>1442</v>
      </c>
      <c r="J20" s="24" t="e">
        <f ca="1">ROUND(M20*M21/10000,2)</f>
        <v>#N/A</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18</v>
      </c>
      <c r="D21" s="368" t="s">
        <v>1446</v>
      </c>
      <c r="E21" s="346" t="s">
        <v>1447</v>
      </c>
      <c r="F21" s="366">
        <f>'数据-取费表'!B38</f>
        <v>0.02</v>
      </c>
      <c r="G21" s="1852"/>
      <c r="H21" s="371"/>
      <c r="I21" s="355"/>
      <c r="J21" s="28"/>
      <c r="K21" s="372"/>
      <c r="L21" s="346" t="s">
        <v>1448</v>
      </c>
      <c r="M21" s="347"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6"/>
      <c r="F22" s="25"/>
      <c r="G22" s="1849"/>
      <c r="H22" s="1199" t="s">
        <v>1039</v>
      </c>
      <c r="I22" s="346" t="s">
        <v>1450</v>
      </c>
      <c r="J22" s="23" t="e">
        <f ca="1">ROUND(J14*M22,1)</f>
        <v>#N/A</v>
      </c>
      <c r="K22" s="1796" t="s">
        <v>1451</v>
      </c>
      <c r="L22" s="346" t="s">
        <v>1423</v>
      </c>
      <c r="M22" s="373" t="e">
        <f ca="1">INDIRECT("'数据-取费表'!Ak"&amp;$G$1)</f>
        <v>#N/A</v>
      </c>
    </row>
    <row r="23" spans="1:37" s="1856" customFormat="1" ht="18" customHeight="1">
      <c r="A23" s="1199" t="s">
        <v>1034</v>
      </c>
      <c r="B23" s="346" t="s">
        <v>1452</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t="e">
        <f ca="1">ROUND(J13*M23,1)</f>
        <v>#N/A</v>
      </c>
      <c r="K23" s="1796" t="s">
        <v>1455</v>
      </c>
      <c r="L23" s="346" t="s">
        <v>1456</v>
      </c>
      <c r="M23" s="375"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1393</v>
      </c>
      <c r="I24" s="1338" t="s">
        <v>1440</v>
      </c>
      <c r="J24" s="1339" t="e">
        <f ca="1">ROUND(J5*M24,1)</f>
        <v>#N/A</v>
      </c>
      <c r="K24" s="1340" t="s">
        <v>1460</v>
      </c>
      <c r="L24" s="1338" t="s">
        <v>1456</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6" t="s">
        <v>1462</v>
      </c>
      <c r="C25" s="23"/>
      <c r="D25" s="139" t="s">
        <v>1463</v>
      </c>
      <c r="E25" s="1816"/>
      <c r="F25" s="25"/>
      <c r="G25" s="1849"/>
      <c r="H25" s="1327" t="s">
        <v>1031</v>
      </c>
      <c r="I25" s="1342" t="s">
        <v>1464</v>
      </c>
      <c r="J25" s="354" t="e">
        <f ca="1">J5-J16</f>
        <v>#N/A</v>
      </c>
      <c r="K25" s="1343" t="s">
        <v>1465</v>
      </c>
      <c r="L25" s="1344"/>
      <c r="M25" s="1345"/>
    </row>
    <row r="26" spans="1:37">
      <c r="A26" s="1199" t="s">
        <v>1034</v>
      </c>
      <c r="B26" s="346" t="s">
        <v>1466</v>
      </c>
      <c r="C26" s="23" t="e">
        <f ca="1">ROUND((C19+C20)*F26,0)</f>
        <v>#N/A</v>
      </c>
      <c r="D26" s="368" t="s">
        <v>1467</v>
      </c>
      <c r="E26" s="357" t="s">
        <v>1468</v>
      </c>
      <c r="F26" s="356" t="e">
        <f ca="1">INDIRECT("'数据-取费表'!q"&amp;$G$1)</f>
        <v>#N/A</v>
      </c>
      <c r="G26" s="1849"/>
      <c r="H26" s="343" t="s">
        <v>1032</v>
      </c>
      <c r="I26" s="344" t="s">
        <v>1469</v>
      </c>
      <c r="J26" s="345" t="e">
        <f ca="1">IF(J5&lt;&gt;0,ROUND(J25*(1-((1+M28)/(1+M26))^M27)/(M26-M28),0),0)</f>
        <v>#N/A</v>
      </c>
      <c r="K26" s="369" t="s">
        <v>1470</v>
      </c>
      <c r="L26" s="346" t="s">
        <v>1471</v>
      </c>
      <c r="M26" s="356" t="e">
        <f ca="1">INDIRECT("'数据-取费表'!I"&amp;$G$1)</f>
        <v>#N/A</v>
      </c>
    </row>
    <row r="27" spans="1:37" ht="18" customHeight="1">
      <c r="A27" s="1199" t="s">
        <v>1036</v>
      </c>
      <c r="B27" s="346" t="s">
        <v>1472</v>
      </c>
      <c r="C27" s="23" t="e">
        <f ca="1">ROUND(F21*F26,4)</f>
        <v>#N/A</v>
      </c>
      <c r="D27" s="368" t="s">
        <v>1473</v>
      </c>
      <c r="E27" s="364"/>
      <c r="F27" s="365"/>
      <c r="G27" s="1849"/>
      <c r="H27" s="348"/>
      <c r="I27" s="349"/>
      <c r="J27" s="350"/>
      <c r="K27" s="377" t="s">
        <v>1474</v>
      </c>
      <c r="L27" s="346" t="s">
        <v>1475</v>
      </c>
      <c r="M27" s="378" t="e">
        <f ca="1">INDIRECT("'数据-取费表'!ag"&amp;$G$1)</f>
        <v>#N/A</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t="e">
        <f ca="1">ROUND((C19+C20+C23+C26)/(1-F21-C24-C27-C28),0)</f>
        <v>#N/A</v>
      </c>
      <c r="D29" s="1340"/>
      <c r="E29" s="1338"/>
      <c r="F29" s="1341"/>
      <c r="G29" s="1852"/>
      <c r="H29" s="379" t="s">
        <v>1033</v>
      </c>
      <c r="I29" s="380" t="s">
        <v>1480</v>
      </c>
      <c r="J29" s="381" t="e">
        <f ca="1">ROUND(J26/(1+F40)^F41,0)</f>
        <v>#N/A</v>
      </c>
      <c r="K29" s="382" t="s">
        <v>1481</v>
      </c>
      <c r="L29" s="383"/>
      <c r="M29" s="384"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t="e">
        <f ca="1">ROUND(C31+C36+C37+C38,0)</f>
        <v>#N/A</v>
      </c>
      <c r="D30" s="1335" t="s">
        <v>1426</v>
      </c>
      <c r="E30" s="1336"/>
      <c r="F30" s="1292"/>
      <c r="G30" s="1849"/>
      <c r="H30" s="743"/>
      <c r="I30" s="744"/>
      <c r="J30" s="745"/>
      <c r="K30" s="746"/>
      <c r="L30" s="747"/>
      <c r="M30" s="748"/>
    </row>
    <row r="31" spans="1:37" ht="18" customHeight="1">
      <c r="A31" s="1199" t="s">
        <v>1035</v>
      </c>
      <c r="B31" s="346" t="s">
        <v>1430</v>
      </c>
      <c r="C31" s="23" t="e">
        <f ca="1">ROUND(IF(项目基本情况!B11="自然人",C5*F31,C32+C33+C34),1)</f>
        <v>#N/A</v>
      </c>
      <c r="D31" s="1798" t="s">
        <v>1431</v>
      </c>
      <c r="E31" s="1796"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t="e">
        <f ca="1">IF(项目基本情况!B11="自然人","——",ROUND(C5*F32/(1+'数据-取费表'!C42),2))</f>
        <v>#N/A</v>
      </c>
      <c r="D32" s="1796" t="s">
        <v>1435</v>
      </c>
      <c r="E32" s="346" t="s">
        <v>1423</v>
      </c>
      <c r="F32" s="376">
        <f>'数据-取费表'!B41</f>
        <v>5.6000000000000001E-2</v>
      </c>
      <c r="G32" s="1849"/>
      <c r="H32" s="743"/>
      <c r="I32" s="744"/>
      <c r="J32" s="745"/>
      <c r="K32" s="746"/>
      <c r="L32" s="747"/>
      <c r="M32" s="748"/>
    </row>
    <row r="33" spans="1:18" ht="18" customHeight="1">
      <c r="A33" s="1199" t="s">
        <v>1036</v>
      </c>
      <c r="B33" s="346" t="s">
        <v>1438</v>
      </c>
      <c r="C33" s="23" t="e">
        <f ca="1">IF(项目基本情况!B11="自然人","——",IF(D33="按租金收入计税",ROUND(C5*F33,2),IF(D33="按房产原值计税",ROUND(C29*F33*0.7,2),INDIRECT("'数据-取费表'!Aj"&amp;$G$1))))</f>
        <v>#N/A</v>
      </c>
      <c r="D33" s="1826" t="s">
        <v>1439</v>
      </c>
      <c r="E33" s="346" t="s">
        <v>1423</v>
      </c>
      <c r="F33" s="366">
        <f>IF(D33="按票据","——",IF(D33="按租金收入计税",'数据-取费表'!B51,'数据-取费表'!B50))</f>
        <v>1.2E-2</v>
      </c>
      <c r="G33" s="1849"/>
      <c r="H33" s="1857"/>
      <c r="I33" s="1858"/>
      <c r="J33" s="1859"/>
      <c r="K33" s="1860"/>
      <c r="L33" s="1857"/>
      <c r="M33" s="1857"/>
    </row>
    <row r="34" spans="1:18" ht="18" customHeight="1">
      <c r="A34" s="1289" t="s">
        <v>1389</v>
      </c>
      <c r="B34" s="163" t="s">
        <v>1442</v>
      </c>
      <c r="C34" s="24" t="e">
        <f ca="1">IF(项目基本情况!B11="自然人","——",ROUND(F34*F35/10000,2))</f>
        <v>#N/A</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t="e">
        <f ca="1">INDIRECT("'数据-取费表'!r"&amp;$G$1)</f>
        <v>#N/A</v>
      </c>
      <c r="G35" s="1849"/>
      <c r="H35" s="743"/>
      <c r="I35" s="1858"/>
      <c r="J35" s="1859"/>
      <c r="K35" s="1860"/>
      <c r="L35" s="1857"/>
      <c r="M35" s="1857"/>
    </row>
    <row r="36" spans="1:18" ht="18" customHeight="1">
      <c r="A36" s="1350" t="s">
        <v>1039</v>
      </c>
      <c r="B36" s="346" t="s">
        <v>1450</v>
      </c>
      <c r="C36" s="23" t="e">
        <f ca="1">ROUND(C29*F36,1)</f>
        <v>#N/A</v>
      </c>
      <c r="D36" s="1796" t="s">
        <v>1483</v>
      </c>
      <c r="E36" s="346" t="s">
        <v>1423</v>
      </c>
      <c r="F36" s="373" t="e">
        <f ca="1">INDIRECT("'数据-取费表'!Ak"&amp;$G$1)</f>
        <v>#N/A</v>
      </c>
      <c r="G36" s="1849"/>
      <c r="H36" s="1857"/>
      <c r="I36" s="1858"/>
      <c r="J36" s="1859"/>
      <c r="K36" s="749"/>
      <c r="L36" s="1857"/>
      <c r="M36" s="1857"/>
    </row>
    <row r="37" spans="1:18" ht="18" customHeight="1">
      <c r="A37" s="1199" t="s">
        <v>1075</v>
      </c>
      <c r="B37" s="346" t="s">
        <v>1454</v>
      </c>
      <c r="C37" s="23" t="e">
        <f ca="1">ROUND(C13*F37,1)</f>
        <v>#N/A</v>
      </c>
      <c r="D37" s="1796" t="s">
        <v>1455</v>
      </c>
      <c r="E37" s="346" t="s">
        <v>1456</v>
      </c>
      <c r="F37" s="375" t="e">
        <f ca="1">INDIRECT("'数据-取费表'!Al"&amp;$G$1)</f>
        <v>#N/A</v>
      </c>
      <c r="G37" s="1849"/>
      <c r="H37" s="1857"/>
      <c r="I37" s="1858"/>
      <c r="J37" s="1859"/>
      <c r="K37" s="749"/>
      <c r="L37" s="1857"/>
      <c r="M37" s="1857"/>
    </row>
    <row r="38" spans="1:18" ht="18" customHeight="1" thickBot="1">
      <c r="A38" s="1337" t="s">
        <v>1393</v>
      </c>
      <c r="B38" s="1338" t="s">
        <v>1440</v>
      </c>
      <c r="C38" s="1339" t="e">
        <f ca="1">ROUND(C5*F38,1)</f>
        <v>#N/A</v>
      </c>
      <c r="D38" s="1340" t="s">
        <v>1460</v>
      </c>
      <c r="E38" s="1338" t="s">
        <v>1456</v>
      </c>
      <c r="F38" s="1334" t="e">
        <f ca="1">INDIRECT("'数据-取费表'!Am"&amp;$G$1)</f>
        <v>#N/A</v>
      </c>
      <c r="G38" s="1849"/>
      <c r="H38" s="1857"/>
      <c r="I38" s="1858"/>
      <c r="J38" s="1859"/>
      <c r="K38" s="1863"/>
      <c r="L38" s="1857"/>
      <c r="M38" s="1857"/>
    </row>
    <row r="39" spans="1:18" ht="24.6" customHeight="1" thickTop="1">
      <c r="A39" s="1327" t="s">
        <v>1031</v>
      </c>
      <c r="B39" s="1342" t="s">
        <v>1484</v>
      </c>
      <c r="C39" s="354" t="e">
        <f ca="1">C5-C30</f>
        <v>#N/A</v>
      </c>
      <c r="D39" s="1343" t="s">
        <v>1485</v>
      </c>
      <c r="E39" s="1344"/>
      <c r="F39" s="1345"/>
      <c r="G39" s="1849"/>
      <c r="H39" s="1857"/>
      <c r="I39" s="1858"/>
      <c r="J39" s="1859"/>
      <c r="K39" s="1863"/>
      <c r="L39" s="1857"/>
      <c r="M39" s="1857"/>
    </row>
    <row r="40" spans="1:18" ht="18" customHeight="1">
      <c r="A40" s="343" t="s">
        <v>1032</v>
      </c>
      <c r="B40" s="344" t="s">
        <v>1486</v>
      </c>
      <c r="C40" s="345" t="e">
        <f ca="1">ROUND(C39*(1-((1+F42)/(1+F40))^F41)/(F40-F42),0)</f>
        <v>#N/A</v>
      </c>
      <c r="D40" s="369" t="s">
        <v>1470</v>
      </c>
      <c r="E40" s="346" t="s">
        <v>1471</v>
      </c>
      <c r="F40" s="356" t="e">
        <f ca="1">INDIRECT("'数据-取费表'!I"&amp;$G$1)</f>
        <v>#N/A</v>
      </c>
      <c r="G40" s="1849"/>
      <c r="H40" s="1837"/>
      <c r="I40" s="1858"/>
      <c r="J40" s="1859"/>
      <c r="K40" s="1863"/>
      <c r="L40" s="1837"/>
      <c r="M40" s="1837"/>
    </row>
    <row r="41" spans="1:18" ht="18" customHeight="1">
      <c r="A41" s="348"/>
      <c r="B41" s="349"/>
      <c r="C41" s="350"/>
      <c r="D41" s="377" t="s">
        <v>1487</v>
      </c>
      <c r="E41" s="346" t="s">
        <v>1475</v>
      </c>
      <c r="F41" s="378" t="e">
        <f ca="1">IF(INDIRECT("'数据-取费表'!af"&amp;$G$1)=0,INDIRECT("'数据-取费表'!ae"&amp;$G$1),INDIRECT("'数据-取费表'!af"&amp;$G$1))</f>
        <v>#N/A</v>
      </c>
      <c r="G41" s="1849"/>
      <c r="H41" s="730"/>
      <c r="I41" s="1858"/>
      <c r="J41" s="1859"/>
      <c r="K41" s="749"/>
      <c r="L41" s="730"/>
      <c r="M41" s="730"/>
    </row>
    <row r="42" spans="1:18" ht="18" customHeight="1">
      <c r="A42" s="352"/>
      <c r="B42" s="353"/>
      <c r="C42" s="354"/>
      <c r="D42" s="372"/>
      <c r="E42" s="346" t="s">
        <v>1478</v>
      </c>
      <c r="F42" s="356" t="e">
        <f ca="1">INDIRECT("'数据-取费表'!v"&amp;$G$1)</f>
        <v>#N/A</v>
      </c>
      <c r="G42" s="1849"/>
      <c r="H42" s="730"/>
      <c r="I42" s="1858"/>
      <c r="J42" s="1859"/>
      <c r="K42" s="749"/>
      <c r="L42" s="730"/>
      <c r="M42" s="730"/>
    </row>
    <row r="43" spans="1:18" ht="18" customHeight="1" thickBot="1">
      <c r="A43" s="379" t="s">
        <v>1033</v>
      </c>
      <c r="B43" s="380" t="s">
        <v>1488</v>
      </c>
      <c r="C43" s="381" t="e">
        <f ca="1">ROUND(C40*10000/F43,0)</f>
        <v>#N/A</v>
      </c>
      <c r="D43" s="382" t="s">
        <v>1489</v>
      </c>
      <c r="E43" s="383" t="s">
        <v>1490</v>
      </c>
      <c r="F43" s="384"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t="e">
        <f ca="1">C68-C40</f>
        <v>#N/A</v>
      </c>
      <c r="D46" s="1870" t="str">
        <f>C2</f>
        <v>万元</v>
      </c>
      <c r="E46" s="1864"/>
      <c r="F46" s="1864"/>
      <c r="I46" s="1871" t="s">
        <v>1522</v>
      </c>
      <c r="J46" s="1872"/>
      <c r="K46" s="1873"/>
      <c r="L46" s="1874" t="e">
        <f ca="1">IF(M47="住宅",0,IF(L48&gt;J51,L60,J60))</f>
        <v>#N/A</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3164</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8" t="s">
        <v>1135</v>
      </c>
      <c r="B48" s="344" t="s">
        <v>1401</v>
      </c>
      <c r="C48" s="1815" t="e">
        <f ca="1">C49+C53+C55</f>
        <v>#N/A</v>
      </c>
      <c r="D48" s="1360"/>
      <c r="E48" s="1361"/>
      <c r="F48" s="1179"/>
      <c r="G48" s="790"/>
      <c r="H48" s="791"/>
      <c r="I48" s="1885" t="s">
        <v>1531</v>
      </c>
      <c r="J48" s="1886" t="s">
        <v>3183</v>
      </c>
      <c r="K48" s="1887" t="s">
        <v>1532</v>
      </c>
      <c r="L48" s="1888" t="e">
        <f ca="1">INDIRECT("'数据-取费表'!f"&amp;$G$1)</f>
        <v>#N/A</v>
      </c>
      <c r="O48" s="1882" t="s">
        <v>1041</v>
      </c>
      <c r="P48" s="1883" t="s">
        <v>1533</v>
      </c>
      <c r="Q48" s="1884" t="e">
        <f ca="1">J60</f>
        <v>#N/A</v>
      </c>
      <c r="R48" s="1884" t="s">
        <v>1534</v>
      </c>
    </row>
    <row r="49" spans="1:18" s="1840" customFormat="1" ht="13.5" thickBot="1">
      <c r="A49" s="1192" t="s">
        <v>1136</v>
      </c>
      <c r="B49" s="1827" t="s">
        <v>1491</v>
      </c>
      <c r="C49" s="1362" t="e">
        <f ca="1">ROUND(F49*F51*F50*(1-F52)/10000,0)</f>
        <v>#N/A</v>
      </c>
      <c r="D49" s="1274" t="s">
        <v>3038</v>
      </c>
      <c r="E49" s="1828" t="s">
        <v>1492</v>
      </c>
      <c r="F49" s="1279"/>
      <c r="G49" s="1889"/>
      <c r="H49" s="791"/>
      <c r="I49" s="1885" t="s">
        <v>1535</v>
      </c>
      <c r="J49" s="1890">
        <v>2018</v>
      </c>
      <c r="K49" s="1887" t="s">
        <v>1536</v>
      </c>
      <c r="L49" s="1891"/>
      <c r="O49" s="1892" t="s">
        <v>1042</v>
      </c>
      <c r="P49" s="1883" t="s">
        <v>1537</v>
      </c>
      <c r="Q49" s="1884" t="e">
        <f ca="1">C29</f>
        <v>#N/A</v>
      </c>
      <c r="R49" s="1884" t="s">
        <v>1530</v>
      </c>
    </row>
    <row r="50" spans="1:18" s="1840" customFormat="1" ht="13.5" thickBot="1">
      <c r="A50" s="1193"/>
      <c r="B50" s="1196"/>
      <c r="C50" s="1366"/>
      <c r="D50" s="1170"/>
      <c r="E50" s="1275" t="s">
        <v>1406</v>
      </c>
      <c r="F50" s="1276" t="e">
        <f ca="1">F7</f>
        <v>#N/A</v>
      </c>
      <c r="H50" s="791"/>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4"/>
      <c r="B51" s="1196"/>
      <c r="C51" s="1197"/>
      <c r="D51" s="1170"/>
      <c r="E51" s="1198" t="s">
        <v>1407</v>
      </c>
      <c r="F51" s="347" t="e">
        <f ca="1">F8</f>
        <v>#N/A</v>
      </c>
      <c r="I51" s="1896" t="s">
        <v>1541</v>
      </c>
      <c r="J51" s="1897">
        <f>IF(J49="",J50,J49+J50-YEAR('数据-取费表'!B2))</f>
        <v>60</v>
      </c>
      <c r="K51" s="1898" t="s">
        <v>1542</v>
      </c>
      <c r="L51" s="1899" t="e">
        <f ca="1">ROUND(-PV(INDIRECT("'数据-取费表'!h"&amp;$G$1),L48,(C39-C13*C76),0),0)</f>
        <v>#N/A</v>
      </c>
      <c r="M51" s="1900"/>
      <c r="O51" s="1892" t="s">
        <v>1044</v>
      </c>
      <c r="P51" s="1883" t="s">
        <v>1543</v>
      </c>
      <c r="Q51" s="1895">
        <f>J52</f>
        <v>0.09</v>
      </c>
      <c r="R51" s="1884"/>
    </row>
    <row r="52" spans="1:18" s="1840" customFormat="1" ht="13.5" thickBot="1">
      <c r="A52" s="1194"/>
      <c r="B52" s="1196"/>
      <c r="C52" s="1197"/>
      <c r="D52" s="1170"/>
      <c r="E52" s="1198" t="s">
        <v>1408</v>
      </c>
      <c r="F52" s="1273"/>
      <c r="I52" s="1901" t="s">
        <v>1544</v>
      </c>
      <c r="J52" s="1902">
        <v>0.09</v>
      </c>
      <c r="K52" s="1901" t="s">
        <v>1545</v>
      </c>
      <c r="L52" s="1902"/>
      <c r="O52" s="1892" t="s">
        <v>1045</v>
      </c>
      <c r="P52" s="1883" t="s">
        <v>1546</v>
      </c>
      <c r="Q52" s="1884" t="e">
        <f ca="1">J53</f>
        <v>#N/A</v>
      </c>
      <c r="R52" s="1884" t="s">
        <v>1547</v>
      </c>
    </row>
    <row r="53" spans="1:18" s="1840" customFormat="1" ht="24.75" thickBot="1">
      <c r="A53" s="1403" t="s">
        <v>1137</v>
      </c>
      <c r="B53" s="1829" t="s">
        <v>1409</v>
      </c>
      <c r="C53" s="360">
        <f ca="1">ROUND(IF(F53="押一",F49*F51*F50/12*F11,IF(F53="押二",F49*F51*F50/12*2*F11,IF(F53="押三",F49*F51*F50/12*3*F11,C54*F11)))/10000,0)</f>
        <v>0</v>
      </c>
      <c r="D53" s="1822" t="s">
        <v>3036</v>
      </c>
      <c r="E53" s="357" t="s">
        <v>1411</v>
      </c>
      <c r="F53" s="1364"/>
      <c r="I53" s="1903" t="s">
        <v>1548</v>
      </c>
      <c r="J53" s="1904" t="e">
        <f ca="1">IF(M47="住宅",J51,IF(D1="——",MIN(J51,L48),IF(D1="在建（套用方法）",MIN(J51,L48-'数据-取费表'!B24),IF(D1="土地（套用方法）",MIN(J51,L48-'数据-取费表'!B20)))))</f>
        <v>#N/A</v>
      </c>
      <c r="K53" s="3262" t="s">
        <v>1549</v>
      </c>
      <c r="L53" s="3263"/>
      <c r="O53" s="1882" t="s">
        <v>1046</v>
      </c>
      <c r="P53" s="1883" t="s">
        <v>1550</v>
      </c>
      <c r="Q53" s="1884" t="e">
        <f ca="1">Q47+Q48</f>
        <v>#N/A</v>
      </c>
      <c r="R53" s="1884" t="s">
        <v>1047</v>
      </c>
    </row>
    <row r="54" spans="1:18" s="1840" customFormat="1" ht="13.5" thickBot="1">
      <c r="A54" s="1404"/>
      <c r="B54" s="1823" t="s">
        <v>1388</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#N/A</v>
      </c>
      <c r="K55" s="1910" t="s">
        <v>1553</v>
      </c>
      <c r="L55" s="1911" t="s">
        <v>1554</v>
      </c>
      <c r="O55" s="1875" t="s">
        <v>1523</v>
      </c>
      <c r="P55" s="1876" t="s">
        <v>1524</v>
      </c>
      <c r="Q55" s="1877" t="s">
        <v>1525</v>
      </c>
      <c r="R55" s="1877" t="s">
        <v>1526</v>
      </c>
    </row>
    <row r="56" spans="1:18" s="1840" customFormat="1" ht="25.5" thickTop="1" thickBot="1">
      <c r="A56" s="1174">
        <v>2</v>
      </c>
      <c r="B56" s="1175" t="s">
        <v>1415</v>
      </c>
      <c r="C56" s="275" t="e">
        <f ca="1">C13</f>
        <v>#N/A</v>
      </c>
      <c r="D56" s="1912"/>
      <c r="E56" s="1913"/>
      <c r="F56" s="1905"/>
      <c r="I56" s="1914" t="s">
        <v>1555</v>
      </c>
      <c r="J56" s="1915" t="s">
        <v>3184</v>
      </c>
      <c r="K56" s="1885" t="s">
        <v>1556</v>
      </c>
      <c r="L56" s="1888" t="e">
        <f ca="1">IF(L48&lt;J51,"——",L48-J53)</f>
        <v>#N/A</v>
      </c>
      <c r="O56" s="1882" t="s">
        <v>1040</v>
      </c>
      <c r="P56" s="1883" t="s">
        <v>1529</v>
      </c>
      <c r="Q56" s="1884" t="e">
        <f ca="1">C40+J29</f>
        <v>#N/A</v>
      </c>
      <c r="R56" s="1884" t="s">
        <v>1530</v>
      </c>
    </row>
    <row r="57" spans="1:18" s="1840" customFormat="1" ht="24.75" thickBot="1">
      <c r="A57" s="1916"/>
      <c r="B57" s="1167" t="s">
        <v>1479</v>
      </c>
      <c r="C57" s="281" t="e">
        <f ca="1">C29</f>
        <v>#N/A</v>
      </c>
      <c r="D57" s="1917"/>
      <c r="E57" s="1918"/>
      <c r="F57" s="1919"/>
      <c r="I57" s="1920" t="s">
        <v>1557</v>
      </c>
      <c r="J57" s="1921" t="e">
        <f ca="1">IF(OR(M47="住宅",J51&lt;L48,J56="是"),"——",J51-L48)</f>
        <v>#N/A</v>
      </c>
      <c r="K57" s="1885" t="s">
        <v>1558</v>
      </c>
      <c r="L57" s="1888" t="e">
        <f ca="1">IF(L48&lt;J51,"——",IF(L55="比较法",L49,IF(L55="基准地价",L50,L51)))</f>
        <v>#N/A</v>
      </c>
      <c r="O57" s="1882" t="s">
        <v>1041</v>
      </c>
      <c r="P57" s="1883" t="s">
        <v>1559</v>
      </c>
      <c r="Q57" s="1884" t="e">
        <f ca="1">L60</f>
        <v>#N/A</v>
      </c>
      <c r="R57" s="1884" t="s">
        <v>1560</v>
      </c>
    </row>
    <row r="58" spans="1:18" s="1840" customFormat="1" ht="24.75" thickBot="1">
      <c r="A58" s="359" t="s">
        <v>1030</v>
      </c>
      <c r="B58" s="1175" t="s">
        <v>1425</v>
      </c>
      <c r="C58" s="360" t="e">
        <f ca="1">ROUND(C59+C64+C65+C66,0)</f>
        <v>#N/A</v>
      </c>
      <c r="D58" s="1177" t="s">
        <v>1426</v>
      </c>
      <c r="E58" s="1178"/>
      <c r="F58" s="1179"/>
      <c r="I58" s="1920" t="s">
        <v>1561</v>
      </c>
      <c r="J58" s="1922" t="e">
        <f ca="1">IF(J55&lt;0.4,0.4,J55)</f>
        <v>#N/A</v>
      </c>
      <c r="K58" s="1898" t="s">
        <v>1562</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199" t="s">
        <v>1035</v>
      </c>
      <c r="B59" s="1167" t="s">
        <v>1430</v>
      </c>
      <c r="C59" s="23" t="e">
        <f ca="1">ROUND(IF(项目基本情况!B11="自然人",C48*F59,C60+C61+C62),1)</f>
        <v>#N/A</v>
      </c>
      <c r="D59" s="1180" t="s">
        <v>1431</v>
      </c>
      <c r="E59" s="1181" t="s">
        <v>1432</v>
      </c>
      <c r="F59" s="367"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1043</v>
      </c>
      <c r="P59" s="1883" t="s">
        <v>1565</v>
      </c>
      <c r="Q59" s="1895">
        <f>L52</f>
        <v>0</v>
      </c>
      <c r="R59" s="1884"/>
    </row>
    <row r="60" spans="1:18" s="1840" customFormat="1" ht="16.5" thickBot="1">
      <c r="A60" s="1199" t="s">
        <v>1034</v>
      </c>
      <c r="B60" s="1167" t="s">
        <v>1434</v>
      </c>
      <c r="C60" s="23" t="e">
        <f ca="1">IF(项目基本情况!B11="自然人","——",ROUND(C48*F60/(1+'数据-取费表'!C42),2))</f>
        <v>#N/A</v>
      </c>
      <c r="D60" s="1181" t="s">
        <v>1435</v>
      </c>
      <c r="E60" s="1167" t="s">
        <v>1423</v>
      </c>
      <c r="F60" s="376">
        <f t="shared" ref="F60:F66" si="0">F32</f>
        <v>5.6000000000000001E-2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199" t="s">
        <v>1493</v>
      </c>
      <c r="B61" s="1167" t="s">
        <v>1494</v>
      </c>
      <c r="C61" s="23" t="e">
        <f ca="1">IF(项目基本情况!B11="自然人","——",IF(D61="按租金收入计税",ROUND(C48*F61,2),IF(D61="按房产原值计税",ROUND(C57*F61*0.7,2),INDIRECT("'数据-取费表'!Aj"&amp;$G$1))))</f>
        <v>#N/A</v>
      </c>
      <c r="D61" s="1826" t="s">
        <v>1439</v>
      </c>
      <c r="E61" s="1167" t="s">
        <v>1495</v>
      </c>
      <c r="F61" s="366">
        <f t="shared" si="0"/>
        <v>1.2E-2</v>
      </c>
      <c r="I61" s="1926"/>
      <c r="J61" s="1926"/>
      <c r="K61" s="1926"/>
      <c r="L61" s="1926"/>
      <c r="O61" s="1892" t="s">
        <v>1045</v>
      </c>
      <c r="P61" s="1883" t="str">
        <f>K59</f>
        <v>续建工期及建筑物耐用年限下的土地年期修正系数Kn</v>
      </c>
      <c r="Q61" s="1884" t="e">
        <f ca="1">L59</f>
        <v>#N/A</v>
      </c>
      <c r="R61" s="1884" t="s">
        <v>1570</v>
      </c>
    </row>
    <row r="62" spans="1:18" s="1840" customFormat="1" ht="13.5" thickBot="1">
      <c r="A62" s="1199" t="s">
        <v>1496</v>
      </c>
      <c r="B62" s="1166" t="s">
        <v>1497</v>
      </c>
      <c r="C62" s="24" t="e">
        <f ca="1">IF(项目基本情况!B11="自然人","——",ROUND(F62*F63/10000,2))</f>
        <v>#N/A</v>
      </c>
      <c r="D62" s="1182" t="s">
        <v>1498</v>
      </c>
      <c r="E62" s="1167" t="s">
        <v>1499</v>
      </c>
      <c r="F62" s="370">
        <f t="shared" si="0"/>
        <v>20</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1"/>
      <c r="B63" s="1173"/>
      <c r="C63" s="28"/>
      <c r="D63" s="1183"/>
      <c r="E63" s="1167" t="s">
        <v>1500</v>
      </c>
      <c r="F63" s="347" t="e">
        <f t="shared" ca="1" si="0"/>
        <v>#N/A</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3" t="e">
        <f ca="1">ROUND(C57*F64,1)</f>
        <v>#N/A</v>
      </c>
      <c r="D64" s="1181" t="s">
        <v>1503</v>
      </c>
      <c r="E64" s="1167" t="s">
        <v>1495</v>
      </c>
      <c r="F64" s="373"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t="e">
        <f ca="1">ROUND(C56*F65,1)</f>
        <v>#N/A</v>
      </c>
      <c r="D65" s="1181" t="s">
        <v>1455</v>
      </c>
      <c r="E65" s="1167" t="s">
        <v>1456</v>
      </c>
      <c r="F65" s="375"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199" t="s">
        <v>1505</v>
      </c>
      <c r="B66" s="1167" t="s">
        <v>1440</v>
      </c>
      <c r="C66" s="23" t="e">
        <f ca="1">ROUND(C48*F66,1)</f>
        <v>#N/A</v>
      </c>
      <c r="D66" s="1181" t="s">
        <v>1506</v>
      </c>
      <c r="E66" s="1167" t="s">
        <v>1423</v>
      </c>
      <c r="F66" s="356" t="e">
        <f t="shared" ca="1" si="0"/>
        <v>#N/A</v>
      </c>
      <c r="O66" s="1882" t="s">
        <v>1041</v>
      </c>
      <c r="P66" s="1883" t="s">
        <v>1559</v>
      </c>
      <c r="Q66" s="1884" t="e">
        <f ca="1">L60</f>
        <v>#N/A</v>
      </c>
      <c r="R66" s="1884" t="s">
        <v>1582</v>
      </c>
    </row>
    <row r="67" spans="1:18" s="1840" customFormat="1" ht="16.5" thickBot="1">
      <c r="A67" s="1174" t="s">
        <v>1031</v>
      </c>
      <c r="B67" s="1184" t="s">
        <v>1464</v>
      </c>
      <c r="C67" s="360" t="e">
        <f ca="1">C48-C58</f>
        <v>#N/A</v>
      </c>
      <c r="D67" s="1180" t="s">
        <v>1465</v>
      </c>
      <c r="E67" s="1185"/>
      <c r="F67" s="1186"/>
      <c r="O67" s="1892" t="s">
        <v>1042</v>
      </c>
      <c r="P67" s="1883" t="s">
        <v>1563</v>
      </c>
      <c r="Q67" s="1931" t="e">
        <f ca="1">L51</f>
        <v>#N/A</v>
      </c>
      <c r="R67" s="1884" t="s">
        <v>1583</v>
      </c>
    </row>
    <row r="68" spans="1:18" s="1840" customFormat="1" ht="16.5" thickBot="1">
      <c r="A68" s="1164" t="s">
        <v>1032</v>
      </c>
      <c r="B68" s="1165" t="s">
        <v>1486</v>
      </c>
      <c r="C68" s="345" t="e">
        <f ca="1">ROUND(C67*(1-((1+F70)/(1+F68))^F69)/(F68-F70),0)</f>
        <v>#N/A</v>
      </c>
      <c r="D68" s="1182" t="s">
        <v>1470</v>
      </c>
      <c r="E68" s="1167" t="s">
        <v>1471</v>
      </c>
      <c r="F68" s="356" t="e">
        <f ca="1">F40</f>
        <v>#N/A</v>
      </c>
      <c r="O68" s="1892" t="s">
        <v>1043</v>
      </c>
      <c r="P68" s="1932" t="s">
        <v>1584</v>
      </c>
      <c r="Q68" s="1884" t="e">
        <f ca="1">ROUND(Q69-Q70*Q71,0)</f>
        <v>#N/A</v>
      </c>
      <c r="R68" s="1884" t="s">
        <v>1051</v>
      </c>
    </row>
    <row r="69" spans="1:18" s="1840" customFormat="1" ht="13.5" thickBot="1">
      <c r="A69" s="1168"/>
      <c r="B69" s="1169"/>
      <c r="C69" s="350"/>
      <c r="D69" s="1187" t="s">
        <v>1474</v>
      </c>
      <c r="E69" s="1167" t="s">
        <v>1475</v>
      </c>
      <c r="F69" s="378" t="e">
        <f ca="1">F41</f>
        <v>#N/A</v>
      </c>
      <c r="O69" s="1892" t="s">
        <v>1048</v>
      </c>
      <c r="P69" s="1932" t="s">
        <v>1585</v>
      </c>
      <c r="Q69" s="1884" t="e">
        <f ca="1">C39</f>
        <v>#N/A</v>
      </c>
      <c r="R69" s="1884" t="s">
        <v>1530</v>
      </c>
    </row>
    <row r="70" spans="1:18" s="1840" customFormat="1" ht="13.5" thickBot="1">
      <c r="A70" s="1171"/>
      <c r="B70" s="1172"/>
      <c r="C70" s="354"/>
      <c r="D70" s="1183"/>
      <c r="E70" s="1167" t="s">
        <v>1478</v>
      </c>
      <c r="F70" s="1273"/>
      <c r="O70" s="1892" t="s">
        <v>1049</v>
      </c>
      <c r="P70" s="1932" t="s">
        <v>1586</v>
      </c>
      <c r="Q70" s="1884" t="e">
        <f ca="1">C13</f>
        <v>#N/A</v>
      </c>
      <c r="R70" s="1884" t="s">
        <v>1530</v>
      </c>
    </row>
    <row r="71" spans="1:18" s="1840" customFormat="1" ht="13.5" thickBot="1">
      <c r="A71" s="1188" t="s">
        <v>1033</v>
      </c>
      <c r="B71" s="1189" t="s">
        <v>1488</v>
      </c>
      <c r="C71" s="381" t="e">
        <f ca="1">ROUND(C68*10000/F71,0)</f>
        <v>#N/A</v>
      </c>
      <c r="D71" s="1190" t="s">
        <v>1489</v>
      </c>
      <c r="E71" s="1191" t="s">
        <v>1490</v>
      </c>
      <c r="F71" s="384" t="e">
        <f ca="1">F43</f>
        <v>#N/A</v>
      </c>
      <c r="O71" s="1892" t="s">
        <v>1050</v>
      </c>
      <c r="P71" s="1932" t="s">
        <v>1587</v>
      </c>
      <c r="Q71" s="1895" t="e">
        <f ca="1">C76</f>
        <v>#N/A</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#N/A</v>
      </c>
      <c r="R73" s="1884" t="s">
        <v>1569</v>
      </c>
    </row>
    <row r="74" spans="1:18" ht="13.5" thickBot="1">
      <c r="A74" s="1840"/>
      <c r="B74" s="316" t="s">
        <v>1588</v>
      </c>
      <c r="C74" s="1934"/>
      <c r="D74" s="1840"/>
      <c r="E74" s="1840"/>
      <c r="F74" s="1840"/>
      <c r="O74" s="1892" t="s">
        <v>1052</v>
      </c>
      <c r="P74" s="1883" t="str">
        <f>K59</f>
        <v>续建工期及建筑物耐用年限下的土地年期修正系数Kn</v>
      </c>
      <c r="Q74" s="1884" t="e">
        <f ca="1">L59</f>
        <v>#N/A</v>
      </c>
      <c r="R74" s="1884" t="s">
        <v>1570</v>
      </c>
    </row>
    <row r="75" spans="1:18" ht="13.5" thickBot="1">
      <c r="A75" s="1840"/>
      <c r="B75" s="385" t="s">
        <v>1507</v>
      </c>
      <c r="C75" s="386" t="e">
        <f ca="1">ROUND(C13*C76,0)</f>
        <v>#N/A</v>
      </c>
      <c r="D75" s="1840"/>
      <c r="E75" s="1840"/>
      <c r="F75" s="1840"/>
      <c r="K75" s="1866"/>
      <c r="L75" s="1840"/>
      <c r="O75" s="1882" t="s">
        <v>1046</v>
      </c>
      <c r="P75" s="1883" t="s">
        <v>1550</v>
      </c>
      <c r="Q75" s="1884" t="e">
        <f ca="1">Q65+Q66</f>
        <v>#N/A</v>
      </c>
      <c r="R75" s="1884" t="s">
        <v>1047</v>
      </c>
    </row>
    <row r="76" spans="1:18">
      <c r="B76" s="387" t="s">
        <v>1508</v>
      </c>
      <c r="C76" s="388" t="e">
        <f ca="1">INDIRECT("'数据-取费表'!j"&amp;$G$1)</f>
        <v>#N/A</v>
      </c>
      <c r="I76" s="1840"/>
      <c r="J76" s="1840"/>
      <c r="K76" s="1866"/>
      <c r="L76" s="1840"/>
    </row>
    <row r="77" spans="1:18">
      <c r="B77" s="389" t="s">
        <v>1509</v>
      </c>
      <c r="C77" s="390"/>
      <c r="I77" s="1840"/>
      <c r="J77" s="1840"/>
      <c r="K77" s="1866"/>
      <c r="L77" s="1840"/>
    </row>
    <row r="78" spans="1:18">
      <c r="B78" s="313" t="s">
        <v>1510</v>
      </c>
      <c r="C78" s="391"/>
    </row>
    <row r="79" spans="1:18">
      <c r="B79" s="385" t="s">
        <v>1511</v>
      </c>
      <c r="C79" s="317" t="e">
        <f ca="1">1-C80</f>
        <v>#N/A</v>
      </c>
    </row>
    <row r="80" spans="1:18">
      <c r="B80" s="385" t="s">
        <v>1512</v>
      </c>
      <c r="C80" s="317" t="e">
        <f ca="1">ROUND(C75/C39,3)</f>
        <v>#N/A</v>
      </c>
    </row>
    <row r="81" spans="2:3">
      <c r="B81" s="313" t="s">
        <v>1513</v>
      </c>
      <c r="C81" s="281"/>
    </row>
    <row r="82" spans="2:3">
      <c r="B82" s="316" t="s">
        <v>1514</v>
      </c>
      <c r="C82" s="318" t="e">
        <f ca="1">1-C83</f>
        <v>#N/A</v>
      </c>
    </row>
    <row r="83" spans="2:3">
      <c r="B83" s="316" t="s">
        <v>1515</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0" sqref="C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t="s">
        <v>1377</v>
      </c>
      <c r="D1" s="3004" t="s">
        <v>70</v>
      </c>
      <c r="E1" s="1819" t="s">
        <v>1387</v>
      </c>
      <c r="F1" s="1281">
        <f ca="1">J53</f>
        <v>36.450000000000003</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1709</v>
      </c>
      <c r="C2" s="1843" t="s">
        <v>1517</v>
      </c>
      <c r="D2" s="1843"/>
      <c r="E2" s="1844"/>
      <c r="F2" s="1845"/>
      <c r="G2" s="1846"/>
      <c r="H2" s="1838"/>
      <c r="I2" s="1838"/>
      <c r="J2" s="1838"/>
      <c r="K2" s="1839"/>
      <c r="L2" s="1838"/>
      <c r="M2" s="1838"/>
    </row>
    <row r="3" spans="1:37" ht="18" customHeight="1" thickBot="1">
      <c r="A3" s="1847" t="s">
        <v>1518</v>
      </c>
      <c r="B3" s="1848">
        <f ca="1">IF(ISERROR(B2*10000/F43),0,ROUND(B2*10000/F43,0))</f>
        <v>16081</v>
      </c>
      <c r="C3" s="1843" t="s">
        <v>1519</v>
      </c>
      <c r="D3" s="1843"/>
      <c r="E3" s="1844"/>
      <c r="F3" s="1845"/>
      <c r="G3" s="1846"/>
      <c r="H3" s="742" t="s">
        <v>1589</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98</v>
      </c>
      <c r="D5" s="1820" t="s">
        <v>1402</v>
      </c>
      <c r="E5" s="1291"/>
      <c r="F5" s="1292"/>
      <c r="G5" s="1849"/>
      <c r="H5" s="343">
        <v>1</v>
      </c>
      <c r="I5" s="344" t="s">
        <v>1401</v>
      </c>
      <c r="J5" s="1290">
        <f ca="1">J6+J10+J12</f>
        <v>0</v>
      </c>
      <c r="K5" s="1820" t="s">
        <v>1402</v>
      </c>
      <c r="L5" s="1291"/>
      <c r="M5" s="1292"/>
    </row>
    <row r="6" spans="1:37" ht="18" customHeight="1">
      <c r="A6" s="1289" t="s">
        <v>1035</v>
      </c>
      <c r="B6" s="3264" t="s">
        <v>1403</v>
      </c>
      <c r="C6" s="1294">
        <f ca="1">ROUND(F6*F8*F7*(1-F9)/10000,0)</f>
        <v>98</v>
      </c>
      <c r="D6" s="163" t="s">
        <v>3035</v>
      </c>
      <c r="E6" s="346" t="s">
        <v>1405</v>
      </c>
      <c r="F6" s="347">
        <f ca="1">INDIRECT("'数据-取费表'!u"&amp;$G$1)</f>
        <v>2.8</v>
      </c>
      <c r="G6" s="1849"/>
      <c r="H6" s="1289" t="s">
        <v>1035</v>
      </c>
      <c r="I6" s="3264" t="s">
        <v>1403</v>
      </c>
      <c r="J6" s="345">
        <f ca="1">ROUND(M6*M8*M7*(1-M9)/10000,0)</f>
        <v>0</v>
      </c>
      <c r="K6" s="163" t="s">
        <v>3034</v>
      </c>
      <c r="L6" s="346" t="s">
        <v>1405</v>
      </c>
      <c r="M6" s="347">
        <f ca="1">INDIRECT("'数据-取费表'!z"&amp;$G$1)</f>
        <v>0</v>
      </c>
    </row>
    <row r="7" spans="1:37" ht="18" customHeight="1">
      <c r="A7" s="1293"/>
      <c r="B7" s="3265"/>
      <c r="C7" s="1295"/>
      <c r="D7" s="351"/>
      <c r="E7" s="2960" t="s">
        <v>1406</v>
      </c>
      <c r="F7" s="347">
        <f ca="1">IF(INDIRECT("'数据-取费表'!ah"&amp;$G$1)="",INDIRECT("'数据-取费表'!k"&amp;$G$1),INDIRECT("'数据-取费表'!ah"&amp;$G$1))</f>
        <v>1062.73</v>
      </c>
      <c r="G7" s="1849"/>
      <c r="H7" s="348"/>
      <c r="I7" s="3265"/>
      <c r="J7" s="350"/>
      <c r="K7" s="351"/>
      <c r="L7" s="346" t="s">
        <v>1406</v>
      </c>
      <c r="M7" s="347">
        <f ca="1">F7</f>
        <v>1062.73</v>
      </c>
    </row>
    <row r="8" spans="1:37" ht="18" customHeight="1">
      <c r="A8" s="348"/>
      <c r="B8" s="3265"/>
      <c r="C8" s="350"/>
      <c r="D8" s="351"/>
      <c r="E8" s="346" t="s">
        <v>1407</v>
      </c>
      <c r="F8" s="347">
        <f ca="1">INDIRECT("'数据-取费表'!ai"&amp;$G$1)</f>
        <v>365</v>
      </c>
      <c r="G8" s="1849"/>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49"/>
      <c r="H9" s="348"/>
      <c r="I9" s="3266"/>
      <c r="J9" s="350"/>
      <c r="K9" s="351"/>
      <c r="L9" s="357" t="s">
        <v>1408</v>
      </c>
      <c r="M9" s="358">
        <f ca="1">INDIRECT("'数据-取费表'!ab"&amp;$G$1)</f>
        <v>0</v>
      </c>
    </row>
    <row r="10" spans="1:37" ht="18" customHeight="1">
      <c r="A10" s="1289" t="s">
        <v>1039</v>
      </c>
      <c r="B10" s="1821" t="s">
        <v>1409</v>
      </c>
      <c r="C10" s="3006">
        <f ca="1">ROUND(IF(F10="押一",F6*F8*F7/12*F11,IF(F10="押二",F6*F8*F7/12*2*F11,IF(F10="押三",F6*F8*F7/12*3*F11,C11*F11)))/10000,0)</f>
        <v>0</v>
      </c>
      <c r="D10" s="1822" t="s">
        <v>3031</v>
      </c>
      <c r="E10" s="357" t="s">
        <v>1411</v>
      </c>
      <c r="F10" s="1364" t="s">
        <v>3186</v>
      </c>
      <c r="G10" s="1849"/>
      <c r="H10" s="1289" t="s">
        <v>1039</v>
      </c>
      <c r="I10" s="1821" t="s">
        <v>1409</v>
      </c>
      <c r="J10" s="345">
        <f ca="1">ROUND(IF(M10="押一",M6*M8*M7/12*M11,IF(M10="押二",M6*M8*M7/12*2*M11,IF(M10="押三",M6*M8*M7/12*3*M11,J11*M11)))/10000,0)</f>
        <v>0</v>
      </c>
      <c r="K10" s="1822" t="s">
        <v>3031</v>
      </c>
      <c r="L10" s="357" t="s">
        <v>1411</v>
      </c>
      <c r="M10" s="1364" t="s">
        <v>1412</v>
      </c>
    </row>
    <row r="11" spans="1:37" ht="18" customHeight="1">
      <c r="A11" s="352"/>
      <c r="B11" s="1823" t="s">
        <v>1388</v>
      </c>
      <c r="C11" s="1176"/>
      <c r="D11" s="1824"/>
      <c r="E11" s="357" t="s">
        <v>1413</v>
      </c>
      <c r="F11" s="358">
        <f ca="1">'数据-取费表'!B39</f>
        <v>1.4999999999999999E-2</v>
      </c>
      <c r="G11" s="1849"/>
      <c r="H11" s="1297"/>
      <c r="I11" s="1823" t="s">
        <v>1388</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f ca="1">ROUND(C29*F13,0)</f>
        <v>382</v>
      </c>
      <c r="D13" s="1329" t="s">
        <v>1416</v>
      </c>
      <c r="E13" s="1329" t="s">
        <v>1417</v>
      </c>
      <c r="F13" s="1330">
        <f ca="1">INDIRECT("'数据-取费表'!y"&amp;$G$1)</f>
        <v>1</v>
      </c>
      <c r="G13" s="1849"/>
      <c r="H13" s="1327">
        <v>2</v>
      </c>
      <c r="I13" s="1328" t="s">
        <v>1415</v>
      </c>
      <c r="J13" s="1288">
        <f ca="1">ROUND(J14*J15,0)</f>
        <v>382</v>
      </c>
      <c r="K13" s="1335" t="s">
        <v>1416</v>
      </c>
      <c r="L13" s="1850"/>
      <c r="M13" s="1851"/>
    </row>
    <row r="14" spans="1:37" ht="18" customHeight="1">
      <c r="A14" s="1199" t="s">
        <v>1034</v>
      </c>
      <c r="B14" s="346" t="s">
        <v>1418</v>
      </c>
      <c r="C14" s="362">
        <f ca="1">INDIRECT("'数据-取费表'!m"&amp;$G$1)+INDIRECT("'数据-取费表'!t"&amp;$G$1)</f>
        <v>234</v>
      </c>
      <c r="D14" s="2963" t="s">
        <v>1419</v>
      </c>
      <c r="E14" s="2962"/>
      <c r="F14" s="363"/>
      <c r="G14" s="1849"/>
      <c r="H14" s="1199" t="s">
        <v>1035</v>
      </c>
      <c r="I14" s="346" t="s">
        <v>1420</v>
      </c>
      <c r="J14" s="23">
        <f ca="1">C29</f>
        <v>382</v>
      </c>
      <c r="K14" s="2959"/>
      <c r="L14" s="977"/>
      <c r="M14" s="978"/>
    </row>
    <row r="15" spans="1:37" s="1856" customFormat="1" ht="18" customHeight="1" thickBot="1">
      <c r="A15" s="1199" t="s">
        <v>1036</v>
      </c>
      <c r="B15" s="346" t="s">
        <v>1421</v>
      </c>
      <c r="C15" s="23">
        <f ca="1">ROUND(C14*F15,0)</f>
        <v>7</v>
      </c>
      <c r="D15" s="364" t="s">
        <v>1422</v>
      </c>
      <c r="E15" s="364" t="s">
        <v>1423</v>
      </c>
      <c r="F15" s="365">
        <f>'数据-取费表'!B33</f>
        <v>0.03</v>
      </c>
      <c r="G15" s="1852"/>
      <c r="H15" s="1337" t="s">
        <v>1039</v>
      </c>
      <c r="I15" s="1338" t="s">
        <v>1417</v>
      </c>
      <c r="J15" s="1347">
        <f ca="1">INDIRECT("'数据-取费表'!ad"&amp;$G$1)</f>
        <v>1</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f ca="1">ROUND(INDIRECT("'数据-取费表'!m"&amp;$G$1)*F16,0)</f>
        <v>0</v>
      </c>
      <c r="D16" s="346" t="s">
        <v>1422</v>
      </c>
      <c r="E16" s="346" t="s">
        <v>1423</v>
      </c>
      <c r="F16" s="366">
        <f ca="1">IF(INDIRECT("'数据-取费表'!c"&amp;$G$1)="住宅",'数据-取费表'!B34,0)</f>
        <v>0</v>
      </c>
      <c r="G16" s="1849"/>
      <c r="H16" s="1327" t="s">
        <v>1030</v>
      </c>
      <c r="I16" s="1328" t="s">
        <v>1425</v>
      </c>
      <c r="J16" s="354">
        <f ca="1">ROUND(J17+J22+J23+J24,0)</f>
        <v>10</v>
      </c>
      <c r="K16" s="1335" t="s">
        <v>1426</v>
      </c>
      <c r="L16" s="2965"/>
      <c r="M16" s="1292"/>
    </row>
    <row r="17" spans="1:37" s="1856" customFormat="1" ht="18" customHeight="1">
      <c r="A17" s="1199" t="s">
        <v>1390</v>
      </c>
      <c r="B17" s="346" t="s">
        <v>1427</v>
      </c>
      <c r="C17" s="23">
        <f ca="1">ROUND(F17*(F43+INDIRECT("'数据-取费表'!S"&amp;$G$1))/10000,0)</f>
        <v>21</v>
      </c>
      <c r="D17" s="346" t="s">
        <v>1428</v>
      </c>
      <c r="E17" s="346" t="s">
        <v>1429</v>
      </c>
      <c r="F17" s="25">
        <f>'数据-取费表'!B35</f>
        <v>200</v>
      </c>
      <c r="G17" s="1852"/>
      <c r="H17" s="1199" t="s">
        <v>1035</v>
      </c>
      <c r="I17" s="346" t="s">
        <v>1430</v>
      </c>
      <c r="J17" s="23">
        <f ca="1">ROUND(IF(项目基本情况!B11="自然人",J5*M17,J18+J19+J20),1)</f>
        <v>3.8</v>
      </c>
      <c r="K17" s="2963" t="s">
        <v>1431</v>
      </c>
      <c r="L17" s="2964"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f ca="1">ROUND(C14*F18,0)</f>
        <v>4</v>
      </c>
      <c r="D18" s="346" t="s">
        <v>1422</v>
      </c>
      <c r="E18" s="346" t="s">
        <v>1423</v>
      </c>
      <c r="F18" s="366">
        <f>'数据-取费表'!B36</f>
        <v>1.4999999999999999E-2</v>
      </c>
      <c r="G18" s="1852"/>
      <c r="H18" s="1199" t="s">
        <v>1034</v>
      </c>
      <c r="I18" s="346" t="s">
        <v>1434</v>
      </c>
      <c r="J18" s="23">
        <f ca="1">ROUND(J5*M18/(1+'数据-取费表'!C42),2)</f>
        <v>0</v>
      </c>
      <c r="K18" s="2964"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f ca="1">SUM(C14:C18)</f>
        <v>266</v>
      </c>
      <c r="D19" s="139" t="s">
        <v>1437</v>
      </c>
      <c r="E19" s="2958"/>
      <c r="F19" s="25"/>
      <c r="G19" s="1849"/>
      <c r="H19" s="1199" t="s">
        <v>1036</v>
      </c>
      <c r="I19" s="346" t="s">
        <v>1438</v>
      </c>
      <c r="J19" s="23">
        <f ca="1">IF(K19="按租金收入计税",ROUND(J5*M19,2),ROUND(C29*M19*0.7,2))</f>
        <v>3.21</v>
      </c>
      <c r="K19" s="1826" t="s">
        <v>1439</v>
      </c>
      <c r="L19" s="346" t="s">
        <v>1423</v>
      </c>
      <c r="M19" s="366">
        <f>IF(K19="按租金收入计税",'数据-取费表'!B51,'数据-取费表'!B50)</f>
        <v>1.2E-2</v>
      </c>
    </row>
    <row r="20" spans="1:37" s="1856" customFormat="1" ht="18" customHeight="1">
      <c r="A20" s="1199" t="s">
        <v>1039</v>
      </c>
      <c r="B20" s="346" t="s">
        <v>1440</v>
      </c>
      <c r="C20" s="23">
        <f ca="1">ROUND(C19*F20,0)</f>
        <v>5</v>
      </c>
      <c r="D20" s="368" t="s">
        <v>1441</v>
      </c>
      <c r="E20" s="346" t="s">
        <v>1423</v>
      </c>
      <c r="F20" s="366">
        <f>'数据-取费表'!B37</f>
        <v>0.02</v>
      </c>
      <c r="G20" s="1852"/>
      <c r="H20" s="1199" t="s">
        <v>1389</v>
      </c>
      <c r="I20" s="163" t="s">
        <v>1442</v>
      </c>
      <c r="J20" s="24">
        <f ca="1">ROUND(M20*M21/10000,2)</f>
        <v>0.59</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18</v>
      </c>
      <c r="D21" s="368" t="s">
        <v>1446</v>
      </c>
      <c r="E21" s="346" t="s">
        <v>1447</v>
      </c>
      <c r="F21" s="366">
        <f>'数据-取费表'!B38</f>
        <v>0.02</v>
      </c>
      <c r="G21" s="1852"/>
      <c r="H21" s="371"/>
      <c r="I21" s="355"/>
      <c r="J21" s="28"/>
      <c r="K21" s="372"/>
      <c r="L21" s="346" t="s">
        <v>1448</v>
      </c>
      <c r="M21" s="347">
        <f ca="1">INDIRECT("'数据-取费表'!r"&amp;$G$1)</f>
        <v>297.44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2958"/>
      <c r="F22" s="25"/>
      <c r="G22" s="1849"/>
      <c r="H22" s="1199" t="s">
        <v>1039</v>
      </c>
      <c r="I22" s="346" t="s">
        <v>1450</v>
      </c>
      <c r="J22" s="23">
        <f ca="1">ROUND(J14*M22,1)</f>
        <v>5.7</v>
      </c>
      <c r="K22" s="2964" t="s">
        <v>1451</v>
      </c>
      <c r="L22" s="346" t="s">
        <v>1423</v>
      </c>
      <c r="M22" s="373">
        <f ca="1">INDIRECT("'数据-取费表'!Ak"&amp;$G$1)</f>
        <v>1.4999999999999999E-2</v>
      </c>
    </row>
    <row r="23" spans="1:37" s="1856" customFormat="1" ht="18" customHeight="1">
      <c r="A23" s="1199" t="s">
        <v>1034</v>
      </c>
      <c r="B23" s="346" t="s">
        <v>1452</v>
      </c>
      <c r="C23" s="23">
        <f ca="1">IF('数据-取费表'!B22&lt;=1,ROUND(C19*F24*F23/2,0)+ROUND(C20*F24*F23/2,0),ROUND(C19*(POWER((1+F24),F23/2)-1),0)+ROUND(C20*(POWER((1+F24),F23/2)-1),0))</f>
        <v>13</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f ca="1">ROUND(J13*M23,1)</f>
        <v>0.6</v>
      </c>
      <c r="K23" s="2964" t="s">
        <v>1455</v>
      </c>
      <c r="L23" s="346" t="s">
        <v>1423</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1392</v>
      </c>
      <c r="I24" s="1338" t="s">
        <v>1440</v>
      </c>
      <c r="J24" s="1339">
        <f ca="1">ROUND(J5*M24,1)</f>
        <v>0</v>
      </c>
      <c r="K24" s="1340" t="s">
        <v>1460</v>
      </c>
      <c r="L24" s="1338" t="s">
        <v>1423</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6" t="s">
        <v>1462</v>
      </c>
      <c r="C25" s="23"/>
      <c r="D25" s="139" t="s">
        <v>1463</v>
      </c>
      <c r="E25" s="2958"/>
      <c r="F25" s="25"/>
      <c r="G25" s="1849"/>
      <c r="H25" s="1327" t="s">
        <v>1031</v>
      </c>
      <c r="I25" s="1342" t="s">
        <v>1464</v>
      </c>
      <c r="J25" s="354">
        <f ca="1">J5-J16</f>
        <v>-10</v>
      </c>
      <c r="K25" s="1343" t="s">
        <v>1465</v>
      </c>
      <c r="L25" s="1344"/>
      <c r="M25" s="1345"/>
    </row>
    <row r="26" spans="1:37">
      <c r="A26" s="1199" t="s">
        <v>1034</v>
      </c>
      <c r="B26" s="346" t="s">
        <v>1466</v>
      </c>
      <c r="C26" s="23">
        <f ca="1">ROUND((C19+C20)*F26,0)</f>
        <v>68</v>
      </c>
      <c r="D26" s="368" t="s">
        <v>1467</v>
      </c>
      <c r="E26" s="357" t="s">
        <v>1468</v>
      </c>
      <c r="F26" s="356">
        <f ca="1">INDIRECT("'数据-取费表'!q"&amp;$G$1)</f>
        <v>0.25</v>
      </c>
      <c r="G26" s="1849"/>
      <c r="H26" s="343" t="s">
        <v>1032</v>
      </c>
      <c r="I26" s="344" t="s">
        <v>1469</v>
      </c>
      <c r="J26" s="345">
        <f ca="1">IF(J5&lt;&gt;0,ROUND(J25*(1-((1+M28)/(1+M26))^M27)/(M26-M28),0),0)</f>
        <v>0</v>
      </c>
      <c r="K26" s="369" t="s">
        <v>1470</v>
      </c>
      <c r="L26" s="346" t="s">
        <v>1471</v>
      </c>
      <c r="M26" s="356">
        <f ca="1">INDIRECT("'数据-取费表'!I"&amp;$G$1)</f>
        <v>5.5E-2</v>
      </c>
    </row>
    <row r="27" spans="1:37" ht="18" customHeight="1">
      <c r="A27" s="1199" t="s">
        <v>1036</v>
      </c>
      <c r="B27" s="346" t="s">
        <v>1472</v>
      </c>
      <c r="C27" s="23">
        <f ca="1">ROUND(F21*F26,4)</f>
        <v>5.0000000000000001E-3</v>
      </c>
      <c r="D27" s="368" t="s">
        <v>1473</v>
      </c>
      <c r="E27" s="364"/>
      <c r="F27" s="365"/>
      <c r="G27" s="1849"/>
      <c r="H27" s="348"/>
      <c r="I27" s="349"/>
      <c r="J27" s="350"/>
      <c r="K27" s="377" t="s">
        <v>1474</v>
      </c>
      <c r="L27" s="346" t="s">
        <v>1475</v>
      </c>
      <c r="M27" s="378">
        <f ca="1">INDIRECT("'数据-取费表'!ag"&amp;$G$1)</f>
        <v>0</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382</v>
      </c>
      <c r="D29" s="1340"/>
      <c r="E29" s="1338"/>
      <c r="F29" s="1341"/>
      <c r="G29" s="1852"/>
      <c r="H29" s="379" t="s">
        <v>1033</v>
      </c>
      <c r="I29" s="380" t="s">
        <v>1480</v>
      </c>
      <c r="J29" s="381">
        <f ca="1">ROUND(J26/(1+F40)^F41,0)</f>
        <v>0</v>
      </c>
      <c r="K29" s="382" t="s">
        <v>1481</v>
      </c>
      <c r="L29" s="383"/>
      <c r="M29" s="384">
        <f ca="1">INDIRECT("'数据-取费表'!k"&amp;$G$1)</f>
        <v>1062.73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f ca="1">ROUND(C31+C36+C37+C38,0)</f>
        <v>25</v>
      </c>
      <c r="D30" s="1335" t="s">
        <v>1426</v>
      </c>
      <c r="E30" s="2965"/>
      <c r="F30" s="1292"/>
      <c r="G30" s="1849"/>
      <c r="H30" s="743"/>
      <c r="I30" s="744"/>
      <c r="J30" s="745"/>
      <c r="K30" s="746"/>
      <c r="L30" s="747"/>
      <c r="M30" s="748"/>
    </row>
    <row r="31" spans="1:37" ht="18" customHeight="1">
      <c r="A31" s="1199" t="s">
        <v>1035</v>
      </c>
      <c r="B31" s="346" t="s">
        <v>1430</v>
      </c>
      <c r="C31" s="23">
        <f ca="1">ROUND(IF(项目基本情况!B11="自然人",C5*F31,C32+C33+C34),1)</f>
        <v>17.600000000000001</v>
      </c>
      <c r="D31" s="2963" t="s">
        <v>1431</v>
      </c>
      <c r="E31" s="2964"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f ca="1">IF(项目基本情况!B11="自然人","——",ROUND(C5*F32/(1+'数据-取费表'!C42),2))</f>
        <v>5.23</v>
      </c>
      <c r="D32" s="2964" t="s">
        <v>1435</v>
      </c>
      <c r="E32" s="346" t="s">
        <v>1423</v>
      </c>
      <c r="F32" s="376">
        <f>'数据-取费表'!B41</f>
        <v>5.6000000000000001E-2</v>
      </c>
      <c r="G32" s="1849"/>
      <c r="H32" s="743"/>
      <c r="I32" s="744"/>
      <c r="J32" s="745"/>
      <c r="K32" s="746"/>
      <c r="L32" s="747"/>
      <c r="M32" s="748"/>
    </row>
    <row r="33" spans="1:18" ht="18" customHeight="1">
      <c r="A33" s="1199" t="s">
        <v>1036</v>
      </c>
      <c r="B33" s="346" t="s">
        <v>1438</v>
      </c>
      <c r="C33" s="23">
        <f ca="1">IF(项目基本情况!B11="自然人","——",IF(D33="按租金收入计税",ROUND(C5*F33,2),IF(D33="按房产原值计税",ROUND(C29*F33*0.7,2),INDIRECT("'数据-取费表'!Aj"&amp;$G$1))))</f>
        <v>11.76</v>
      </c>
      <c r="D33" s="3005" t="s">
        <v>3314</v>
      </c>
      <c r="E33" s="346" t="s">
        <v>1423</v>
      </c>
      <c r="F33" s="366">
        <f>IF(D33="按票据","——",IF(D33="按租金收入计税",'数据-取费表'!B51,'数据-取费表'!B50))</f>
        <v>0.12</v>
      </c>
      <c r="G33" s="1849"/>
      <c r="H33" s="1857"/>
      <c r="I33" s="1858"/>
      <c r="J33" s="1859"/>
      <c r="K33" s="1860"/>
      <c r="L33" s="1857"/>
      <c r="M33" s="1857"/>
    </row>
    <row r="34" spans="1:18" ht="18" customHeight="1">
      <c r="A34" s="1289" t="s">
        <v>1389</v>
      </c>
      <c r="B34" s="163" t="s">
        <v>1442</v>
      </c>
      <c r="C34" s="24">
        <f ca="1">IF(项目基本情况!B11="自然人","——",ROUND(F34*F35/10000,2))</f>
        <v>0.59</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f ca="1">INDIRECT("'数据-取费表'!r"&amp;$G$1)</f>
        <v>297.44</v>
      </c>
      <c r="G35" s="1849"/>
      <c r="H35" s="743"/>
      <c r="I35" s="1858"/>
      <c r="J35" s="1859"/>
      <c r="K35" s="1860"/>
      <c r="L35" s="1857"/>
      <c r="M35" s="1857"/>
    </row>
    <row r="36" spans="1:18" ht="18" customHeight="1">
      <c r="A36" s="1350" t="s">
        <v>1039</v>
      </c>
      <c r="B36" s="346" t="s">
        <v>1450</v>
      </c>
      <c r="C36" s="23">
        <f ca="1">ROUND(C29*F36,1)</f>
        <v>5.7</v>
      </c>
      <c r="D36" s="2964" t="s">
        <v>1483</v>
      </c>
      <c r="E36" s="346" t="s">
        <v>1423</v>
      </c>
      <c r="F36" s="373">
        <f ca="1">INDIRECT("'数据-取费表'!Ak"&amp;$G$1)</f>
        <v>1.4999999999999999E-2</v>
      </c>
      <c r="G36" s="1849"/>
      <c r="H36" s="1857"/>
      <c r="I36" s="1858"/>
      <c r="J36" s="1859"/>
      <c r="K36" s="749"/>
      <c r="L36" s="1857"/>
      <c r="M36" s="1857"/>
    </row>
    <row r="37" spans="1:18" ht="18" customHeight="1">
      <c r="A37" s="1199" t="s">
        <v>1075</v>
      </c>
      <c r="B37" s="346" t="s">
        <v>1454</v>
      </c>
      <c r="C37" s="23">
        <f ca="1">ROUND(C13*F37,1)</f>
        <v>0.6</v>
      </c>
      <c r="D37" s="2964" t="s">
        <v>1455</v>
      </c>
      <c r="E37" s="346" t="s">
        <v>1423</v>
      </c>
      <c r="F37" s="375">
        <f ca="1">INDIRECT("'数据-取费表'!Al"&amp;$G$1)</f>
        <v>1.5E-3</v>
      </c>
      <c r="G37" s="1849"/>
      <c r="H37" s="1857"/>
      <c r="I37" s="1858"/>
      <c r="J37" s="1859"/>
      <c r="K37" s="749"/>
      <c r="L37" s="1857"/>
      <c r="M37" s="1857"/>
    </row>
    <row r="38" spans="1:18" ht="18" customHeight="1" thickBot="1">
      <c r="A38" s="1337" t="s">
        <v>1392</v>
      </c>
      <c r="B38" s="1338" t="s">
        <v>1440</v>
      </c>
      <c r="C38" s="1339">
        <f ca="1">ROUND(C5*F38,1)</f>
        <v>1</v>
      </c>
      <c r="D38" s="1340" t="s">
        <v>1460</v>
      </c>
      <c r="E38" s="1338" t="s">
        <v>1423</v>
      </c>
      <c r="F38" s="1334">
        <f ca="1">INDIRECT("'数据-取费表'!Am"&amp;$G$1)</f>
        <v>0.01</v>
      </c>
      <c r="G38" s="1849"/>
      <c r="H38" s="1857"/>
      <c r="I38" s="1858"/>
      <c r="J38" s="1859"/>
      <c r="K38" s="1863"/>
      <c r="L38" s="1857"/>
      <c r="M38" s="1857"/>
    </row>
    <row r="39" spans="1:18" ht="24.6" customHeight="1" thickTop="1">
      <c r="A39" s="1327" t="s">
        <v>1031</v>
      </c>
      <c r="B39" s="1342" t="s">
        <v>1464</v>
      </c>
      <c r="C39" s="354">
        <f ca="1">C5-C30</f>
        <v>73</v>
      </c>
      <c r="D39" s="1343" t="s">
        <v>1465</v>
      </c>
      <c r="E39" s="1344"/>
      <c r="F39" s="1345"/>
      <c r="G39" s="1849"/>
      <c r="H39" s="1857"/>
      <c r="I39" s="1858"/>
      <c r="J39" s="1859"/>
      <c r="K39" s="1863"/>
      <c r="L39" s="1857"/>
      <c r="M39" s="1857"/>
    </row>
    <row r="40" spans="1:18" ht="18" customHeight="1">
      <c r="A40" s="343" t="s">
        <v>1032</v>
      </c>
      <c r="B40" s="344" t="s">
        <v>1486</v>
      </c>
      <c r="C40" s="345">
        <f ca="1">ROUND(C39*(1-((1+F42)/(1+F40))^F41)/(F40-F42),0)</f>
        <v>1702</v>
      </c>
      <c r="D40" s="369" t="s">
        <v>1470</v>
      </c>
      <c r="E40" s="346" t="s">
        <v>1471</v>
      </c>
      <c r="F40" s="356">
        <f ca="1">INDIRECT("'数据-取费表'!I"&amp;$G$1)</f>
        <v>5.5E-2</v>
      </c>
      <c r="G40" s="1849"/>
      <c r="H40" s="1837"/>
      <c r="I40" s="1858"/>
      <c r="J40" s="1859"/>
      <c r="K40" s="1863"/>
      <c r="L40" s="1837"/>
      <c r="M40" s="1837"/>
    </row>
    <row r="41" spans="1:18" ht="18" customHeight="1">
      <c r="A41" s="348"/>
      <c r="B41" s="349"/>
      <c r="C41" s="350"/>
      <c r="D41" s="377" t="s">
        <v>1487</v>
      </c>
      <c r="E41" s="346" t="s">
        <v>1475</v>
      </c>
      <c r="F41" s="378">
        <f ca="1">IF(INDIRECT("'数据-取费表'!af"&amp;$G$1)=0,INDIRECT("'数据-取费表'!ae"&amp;$G$1),INDIRECT("'数据-取费表'!af"&amp;$G$1))</f>
        <v>36.450000000000003</v>
      </c>
      <c r="G41" s="1849"/>
      <c r="H41" s="730"/>
      <c r="I41" s="1858"/>
      <c r="J41" s="1859"/>
      <c r="K41" s="749"/>
      <c r="L41" s="730"/>
      <c r="M41" s="730"/>
    </row>
    <row r="42" spans="1:18" ht="18" customHeight="1">
      <c r="A42" s="352"/>
      <c r="B42" s="353"/>
      <c r="C42" s="354"/>
      <c r="D42" s="372"/>
      <c r="E42" s="346" t="s">
        <v>1478</v>
      </c>
      <c r="F42" s="356">
        <f ca="1">INDIRECT("'数据-取费表'!v"&amp;$G$1)</f>
        <v>0.03</v>
      </c>
      <c r="G42" s="1849"/>
      <c r="H42" s="730"/>
      <c r="I42" s="1858"/>
      <c r="J42" s="1859"/>
      <c r="K42" s="749"/>
      <c r="L42" s="730"/>
      <c r="M42" s="730"/>
    </row>
    <row r="43" spans="1:18" ht="18" customHeight="1" thickBot="1">
      <c r="A43" s="379" t="s">
        <v>1033</v>
      </c>
      <c r="B43" s="380" t="s">
        <v>1488</v>
      </c>
      <c r="C43" s="381">
        <f ca="1">ROUND(C40*10000/F43,0)</f>
        <v>16015</v>
      </c>
      <c r="D43" s="382" t="s">
        <v>1489</v>
      </c>
      <c r="E43" s="383" t="s">
        <v>1490</v>
      </c>
      <c r="F43" s="384">
        <f ca="1">INDIRECT("'数据-取费表'!k"&amp;$G$1)</f>
        <v>1062.73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-2310</v>
      </c>
      <c r="D46" s="1870" t="str">
        <f>C2</f>
        <v>万元</v>
      </c>
      <c r="E46" s="1864"/>
      <c r="F46" s="1864"/>
      <c r="I46" s="1871" t="s">
        <v>1522</v>
      </c>
      <c r="J46" s="1872"/>
      <c r="K46" s="1873"/>
      <c r="L46" s="1874">
        <f ca="1">IF(M47="住宅",0,IF(L48&gt;J51,L60,J60))</f>
        <v>7</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3164</v>
      </c>
      <c r="K47" s="1880" t="s">
        <v>1528</v>
      </c>
      <c r="L47" s="1881">
        <f ca="1">INDIRECT("'数据-取费表'!d"&amp;$G$1)</f>
        <v>40</v>
      </c>
      <c r="M47" s="1836" t="str">
        <f>IF(ISNUMBER(FIND("住宅",C1)),"住宅","非住宅")</f>
        <v>非住宅</v>
      </c>
      <c r="O47" s="1882" t="s">
        <v>1040</v>
      </c>
      <c r="P47" s="1883" t="s">
        <v>1529</v>
      </c>
      <c r="Q47" s="1884">
        <f ca="1">C40+J29</f>
        <v>1702</v>
      </c>
      <c r="R47" s="1884" t="s">
        <v>1530</v>
      </c>
    </row>
    <row r="48" spans="1:18" s="1840" customFormat="1" ht="28.5" thickBot="1">
      <c r="A48" s="1358" t="s">
        <v>1135</v>
      </c>
      <c r="B48" s="344" t="s">
        <v>1401</v>
      </c>
      <c r="C48" s="2957">
        <f ca="1">C49+C53+C55</f>
        <v>0</v>
      </c>
      <c r="D48" s="1360"/>
      <c r="E48" s="1361"/>
      <c r="F48" s="1179"/>
      <c r="G48" s="790"/>
      <c r="H48" s="791"/>
      <c r="I48" s="1885" t="s">
        <v>1531</v>
      </c>
      <c r="J48" s="1886" t="s">
        <v>3183</v>
      </c>
      <c r="K48" s="1887" t="s">
        <v>1532</v>
      </c>
      <c r="L48" s="1888">
        <f ca="1">INDIRECT("'数据-取费表'!f"&amp;$G$1)</f>
        <v>36.450000000000003</v>
      </c>
      <c r="O48" s="1882" t="s">
        <v>1041</v>
      </c>
      <c r="P48" s="1883" t="s">
        <v>1533</v>
      </c>
      <c r="Q48" s="1884">
        <f ca="1">J60</f>
        <v>7</v>
      </c>
      <c r="R48" s="1884" t="s">
        <v>1534</v>
      </c>
    </row>
    <row r="49" spans="1:18" s="1840" customFormat="1" ht="13.5" thickBot="1">
      <c r="A49" s="1192" t="s">
        <v>1136</v>
      </c>
      <c r="B49" s="1827" t="s">
        <v>1491</v>
      </c>
      <c r="C49" s="1362">
        <f ca="1">ROUND(F49*F51*F50*(1-F52)/10000,0)</f>
        <v>0</v>
      </c>
      <c r="D49" s="1274" t="s">
        <v>3034</v>
      </c>
      <c r="E49" s="1828" t="s">
        <v>1492</v>
      </c>
      <c r="F49" s="1279"/>
      <c r="G49" s="1889"/>
      <c r="H49" s="791"/>
      <c r="I49" s="1885" t="s">
        <v>1535</v>
      </c>
      <c r="J49" s="1890">
        <v>2018</v>
      </c>
      <c r="K49" s="1887" t="s">
        <v>1536</v>
      </c>
      <c r="L49" s="1891"/>
      <c r="O49" s="1892" t="s">
        <v>1042</v>
      </c>
      <c r="P49" s="1883" t="s">
        <v>1537</v>
      </c>
      <c r="Q49" s="1884">
        <f ca="1">C29</f>
        <v>382</v>
      </c>
      <c r="R49" s="1884" t="s">
        <v>1530</v>
      </c>
    </row>
    <row r="50" spans="1:18" s="1840" customFormat="1" ht="13.5" thickBot="1">
      <c r="A50" s="1193"/>
      <c r="B50" s="1196"/>
      <c r="C50" s="1366"/>
      <c r="D50" s="1170"/>
      <c r="E50" s="1275" t="s">
        <v>1406</v>
      </c>
      <c r="F50" s="1276">
        <f ca="1">F7</f>
        <v>1062.73</v>
      </c>
      <c r="H50" s="791"/>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4"/>
      <c r="B51" s="1196"/>
      <c r="C51" s="1197"/>
      <c r="D51" s="1170"/>
      <c r="E51" s="1198" t="s">
        <v>1407</v>
      </c>
      <c r="F51" s="347">
        <f ca="1">F8</f>
        <v>365</v>
      </c>
      <c r="I51" s="1896" t="s">
        <v>1541</v>
      </c>
      <c r="J51" s="1897">
        <f>IF(J49="",J50,J49+J50-YEAR('数据-取费表'!B2))</f>
        <v>60</v>
      </c>
      <c r="K51" s="1898" t="s">
        <v>1542</v>
      </c>
      <c r="L51" s="1899">
        <f ca="1">ROUND(-PV(INDIRECT("'数据-取费表'!h"&amp;$G$1),L48,(C39-C13*C76),0),0)</f>
        <v>674</v>
      </c>
      <c r="M51" s="1900"/>
      <c r="O51" s="1892" t="s">
        <v>1044</v>
      </c>
      <c r="P51" s="1883" t="s">
        <v>1543</v>
      </c>
      <c r="Q51" s="1895">
        <f>J52</f>
        <v>0.09</v>
      </c>
      <c r="R51" s="1884"/>
    </row>
    <row r="52" spans="1:18" s="1840" customFormat="1" ht="13.5" thickBot="1">
      <c r="A52" s="1194"/>
      <c r="B52" s="1196"/>
      <c r="C52" s="1197"/>
      <c r="D52" s="1170"/>
      <c r="E52" s="1198" t="s">
        <v>1408</v>
      </c>
      <c r="F52" s="1273"/>
      <c r="I52" s="1901" t="s">
        <v>1544</v>
      </c>
      <c r="J52" s="1902">
        <v>0.09</v>
      </c>
      <c r="K52" s="1901" t="s">
        <v>1545</v>
      </c>
      <c r="L52" s="1902"/>
      <c r="O52" s="1892" t="s">
        <v>1045</v>
      </c>
      <c r="P52" s="1883" t="s">
        <v>1546</v>
      </c>
      <c r="Q52" s="1884">
        <f ca="1">J53</f>
        <v>36.450000000000003</v>
      </c>
      <c r="R52" s="1884" t="s">
        <v>1547</v>
      </c>
    </row>
    <row r="53" spans="1:18" s="1840" customFormat="1" ht="24.75" thickBot="1">
      <c r="A53" s="1403" t="s">
        <v>1137</v>
      </c>
      <c r="B53" s="1829" t="s">
        <v>1409</v>
      </c>
      <c r="C53" s="360">
        <f ca="1">ROUND(IF(F53="押一",F49*F51*F50/12*F11,IF(F53="押二",F49*F51*F50/12*2*F11,IF(F53="押三",F49*F51*F50/12*3*F11,C54*F11)))/10000,0)</f>
        <v>0</v>
      </c>
      <c r="D53" s="1822" t="s">
        <v>3031</v>
      </c>
      <c r="E53" s="357" t="s">
        <v>1411</v>
      </c>
      <c r="F53" s="1364"/>
      <c r="I53" s="1903" t="s">
        <v>1548</v>
      </c>
      <c r="J53" s="1904">
        <f ca="1">IF(M47="住宅",J51,IF(D1="——",MIN(J51,L48),IF(D1="在建（套用方法）",MIN(J51,L48-'数据-取费表'!B24),IF(D1="土地（套用方法）",MIN(J51,L48-'数据-取费表'!B20)))))</f>
        <v>36.450000000000003</v>
      </c>
      <c r="K53" s="3262" t="s">
        <v>1549</v>
      </c>
      <c r="L53" s="3263"/>
      <c r="O53" s="1882" t="s">
        <v>1046</v>
      </c>
      <c r="P53" s="1883" t="s">
        <v>1550</v>
      </c>
      <c r="Q53" s="1884">
        <f ca="1">Q47+Q48</f>
        <v>1709</v>
      </c>
      <c r="R53" s="1884" t="s">
        <v>1047</v>
      </c>
    </row>
    <row r="54" spans="1:18" s="1840" customFormat="1" ht="13.5" thickBot="1">
      <c r="A54" s="1404"/>
      <c r="B54" s="1823" t="s">
        <v>1388</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61"/>
      <c r="F55" s="1905"/>
      <c r="I55" s="1908" t="s">
        <v>1552</v>
      </c>
      <c r="J55" s="1909">
        <f ca="1">ROUND(IF(J47="钢混",J57/J50,1-(1-2%)*(J50-J57)/J50),3)</f>
        <v>0.39300000000000002</v>
      </c>
      <c r="K55" s="1910" t="s">
        <v>1553</v>
      </c>
      <c r="L55" s="1911" t="s">
        <v>3315</v>
      </c>
      <c r="O55" s="1875" t="s">
        <v>1523</v>
      </c>
      <c r="P55" s="1876" t="s">
        <v>1524</v>
      </c>
      <c r="Q55" s="1877" t="s">
        <v>1525</v>
      </c>
      <c r="R55" s="1877" t="s">
        <v>1526</v>
      </c>
    </row>
    <row r="56" spans="1:18" s="1840" customFormat="1" ht="25.5" thickTop="1" thickBot="1">
      <c r="A56" s="1174">
        <v>2</v>
      </c>
      <c r="B56" s="1175" t="s">
        <v>1415</v>
      </c>
      <c r="C56" s="275">
        <f ca="1">C13</f>
        <v>382</v>
      </c>
      <c r="D56" s="1912"/>
      <c r="E56" s="1913"/>
      <c r="F56" s="1905"/>
      <c r="I56" s="1914" t="s">
        <v>1555</v>
      </c>
      <c r="J56" s="1915" t="s">
        <v>3184</v>
      </c>
      <c r="K56" s="1885" t="s">
        <v>1556</v>
      </c>
      <c r="L56" s="1888" t="str">
        <f ca="1">IF(L48&lt;J51,"——",L48-J53)</f>
        <v>——</v>
      </c>
      <c r="O56" s="1882" t="s">
        <v>1040</v>
      </c>
      <c r="P56" s="1883" t="s">
        <v>1529</v>
      </c>
      <c r="Q56" s="1884">
        <f ca="1">C40+J29</f>
        <v>1702</v>
      </c>
      <c r="R56" s="1884" t="s">
        <v>1530</v>
      </c>
    </row>
    <row r="57" spans="1:18" s="1840" customFormat="1" ht="24.75" thickBot="1">
      <c r="A57" s="1916"/>
      <c r="B57" s="1167" t="s">
        <v>1479</v>
      </c>
      <c r="C57" s="281">
        <f ca="1">C29</f>
        <v>382</v>
      </c>
      <c r="D57" s="1917"/>
      <c r="E57" s="1918"/>
      <c r="F57" s="1919"/>
      <c r="I57" s="1920" t="s">
        <v>1557</v>
      </c>
      <c r="J57" s="1921">
        <f ca="1">IF(OR(M47="住宅",J51&lt;L48,J56="是"),"——",J51-L48)</f>
        <v>23.549999999999997</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9" t="s">
        <v>1030</v>
      </c>
      <c r="B58" s="1175" t="s">
        <v>1425</v>
      </c>
      <c r="C58" s="360">
        <f ca="1">ROUND(C59+C64+C65+C66,0)</f>
        <v>39</v>
      </c>
      <c r="D58" s="1177" t="s">
        <v>1426</v>
      </c>
      <c r="E58" s="1178"/>
      <c r="F58" s="1179"/>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3">
        <f ca="1">ROUND(IF(项目基本情况!B11="自然人",C48*F59,C60+C61+C62),1)</f>
        <v>32.700000000000003</v>
      </c>
      <c r="D59" s="1180" t="s">
        <v>1431</v>
      </c>
      <c r="E59" s="1181" t="s">
        <v>1432</v>
      </c>
      <c r="F59" s="367" t="str">
        <f ca="1">IF(项目基本情况!B11="企业","",IF(INDIRECT("'数据-取费表'!c"&amp;$G$1)="住宅",5%,IF(F49*F50*F51/12/(1+'数据-取费表'!C42)&gt;20000,12%,7%)))</f>
        <v/>
      </c>
      <c r="I59" s="1920" t="s">
        <v>1564</v>
      </c>
      <c r="J59" s="1921">
        <f ca="1">IF(OR(M47="住宅",J51&lt;L48,J56="是"),"——",ROUND(C29*J58,0))</f>
        <v>153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3">
        <f ca="1">IF(项目基本情况!B11="自然人","——",ROUND(C48*F60/(1+'数据-取费表'!C42),2))</f>
        <v>0</v>
      </c>
      <c r="D60" s="1181" t="s">
        <v>1435</v>
      </c>
      <c r="E60" s="1167" t="s">
        <v>1423</v>
      </c>
      <c r="F60" s="376">
        <f t="shared" ref="F60:F66" si="0">F32</f>
        <v>5.6000000000000001E-2</v>
      </c>
      <c r="I60" s="1923" t="s">
        <v>1566</v>
      </c>
      <c r="J60" s="1924">
        <f ca="1">IF(OR(M47="住宅",J51&lt;L48,J56="是"),"0",ROUND(J59/(1+J52)^J53,0))</f>
        <v>7</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3">
        <f ca="1">IF(项目基本情况!B11="自然人","——",IF(D61="按租金收入计税",ROUND(C48*F61,2),IF(D61="按房产原值计税",ROUND(C57*F61*0.7,2),INDIRECT("'数据-取费表'!Aj"&amp;$G$1))))</f>
        <v>32.090000000000003</v>
      </c>
      <c r="D61" s="1826" t="s">
        <v>1439</v>
      </c>
      <c r="E61" s="1167" t="s">
        <v>1423</v>
      </c>
      <c r="F61" s="366">
        <f t="shared" si="0"/>
        <v>0.12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199" t="s">
        <v>1496</v>
      </c>
      <c r="B62" s="1166" t="s">
        <v>1442</v>
      </c>
      <c r="C62" s="24">
        <f ca="1">IF(项目基本情况!B11="自然人","——",ROUND(F62*F63/10000,2))</f>
        <v>0.59</v>
      </c>
      <c r="D62" s="1182" t="s">
        <v>1443</v>
      </c>
      <c r="E62" s="1167" t="s">
        <v>1444</v>
      </c>
      <c r="F62" s="370">
        <f t="shared" si="0"/>
        <v>20</v>
      </c>
      <c r="I62" s="1927" t="s">
        <v>1571</v>
      </c>
      <c r="J62" s="1928" t="s">
        <v>1572</v>
      </c>
      <c r="K62" s="1928" t="s">
        <v>1573</v>
      </c>
      <c r="L62" s="1928" t="s">
        <v>1574</v>
      </c>
      <c r="M62" s="1929" t="s">
        <v>1575</v>
      </c>
      <c r="O62" s="1882" t="s">
        <v>1046</v>
      </c>
      <c r="P62" s="1883" t="s">
        <v>1550</v>
      </c>
      <c r="Q62" s="1884">
        <f ca="1">Q56+Q57</f>
        <v>1702</v>
      </c>
      <c r="R62" s="1884" t="s">
        <v>1047</v>
      </c>
    </row>
    <row r="63" spans="1:18" s="1840" customFormat="1" ht="13.5" thickBot="1">
      <c r="A63" s="371"/>
      <c r="B63" s="1173"/>
      <c r="C63" s="28"/>
      <c r="D63" s="1183"/>
      <c r="E63" s="1167" t="s">
        <v>1448</v>
      </c>
      <c r="F63" s="347">
        <f t="shared" ca="1" si="0"/>
        <v>297.44</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3">
        <f ca="1">ROUND(C57*F64,1)</f>
        <v>5.7</v>
      </c>
      <c r="D64" s="1181" t="s">
        <v>1483</v>
      </c>
      <c r="E64" s="1167" t="s">
        <v>1423</v>
      </c>
      <c r="F64" s="373">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f ca="1">ROUND(C56*F65,1)</f>
        <v>0.6</v>
      </c>
      <c r="D65" s="1181" t="s">
        <v>1455</v>
      </c>
      <c r="E65" s="1167" t="s">
        <v>1423</v>
      </c>
      <c r="F65" s="375">
        <f t="shared" ca="1" si="0"/>
        <v>1.5E-3</v>
      </c>
      <c r="I65" s="1927" t="s">
        <v>1580</v>
      </c>
      <c r="J65" s="1928">
        <v>40</v>
      </c>
      <c r="K65" s="1928">
        <v>30</v>
      </c>
      <c r="L65" s="1928">
        <v>50</v>
      </c>
      <c r="M65" s="1930">
        <v>0.02</v>
      </c>
      <c r="O65" s="1882" t="s">
        <v>1040</v>
      </c>
      <c r="P65" s="1883" t="s">
        <v>1529</v>
      </c>
      <c r="Q65" s="1884">
        <f ca="1">C40+J29</f>
        <v>1702</v>
      </c>
      <c r="R65" s="1884" t="s">
        <v>1530</v>
      </c>
    </row>
    <row r="66" spans="1:18" s="1840" customFormat="1" ht="16.5" thickBot="1">
      <c r="A66" s="1199" t="s">
        <v>1505</v>
      </c>
      <c r="B66" s="1167" t="s">
        <v>1440</v>
      </c>
      <c r="C66" s="23">
        <f ca="1">ROUND(C48*F66,1)</f>
        <v>0</v>
      </c>
      <c r="D66" s="1181" t="s">
        <v>1460</v>
      </c>
      <c r="E66" s="1167" t="s">
        <v>1423</v>
      </c>
      <c r="F66" s="356">
        <f t="shared" ca="1" si="0"/>
        <v>0.01</v>
      </c>
      <c r="O66" s="1882" t="s">
        <v>1041</v>
      </c>
      <c r="P66" s="1883" t="s">
        <v>1559</v>
      </c>
      <c r="Q66" s="1884">
        <f ca="1">L60</f>
        <v>0</v>
      </c>
      <c r="R66" s="1884" t="s">
        <v>1582</v>
      </c>
    </row>
    <row r="67" spans="1:18" s="1840" customFormat="1" ht="16.5" thickBot="1">
      <c r="A67" s="1174" t="s">
        <v>1031</v>
      </c>
      <c r="B67" s="1184" t="s">
        <v>1464</v>
      </c>
      <c r="C67" s="360">
        <f ca="1">C48-C58</f>
        <v>-39</v>
      </c>
      <c r="D67" s="1180" t="s">
        <v>1465</v>
      </c>
      <c r="E67" s="1185"/>
      <c r="F67" s="1186"/>
      <c r="O67" s="1892" t="s">
        <v>1042</v>
      </c>
      <c r="P67" s="1883" t="s">
        <v>1563</v>
      </c>
      <c r="Q67" s="1931">
        <f ca="1">L51</f>
        <v>674</v>
      </c>
      <c r="R67" s="1884" t="s">
        <v>1583</v>
      </c>
    </row>
    <row r="68" spans="1:18" s="1840" customFormat="1" ht="16.5" thickBot="1">
      <c r="A68" s="1164" t="s">
        <v>1032</v>
      </c>
      <c r="B68" s="1165" t="s">
        <v>1486</v>
      </c>
      <c r="C68" s="345">
        <f ca="1">ROUND(C67*(1-((1+F70)/(1+F68))^F69)/(F68-F70),0)</f>
        <v>-608</v>
      </c>
      <c r="D68" s="1182" t="s">
        <v>1470</v>
      </c>
      <c r="E68" s="1167" t="s">
        <v>1471</v>
      </c>
      <c r="F68" s="356">
        <f ca="1">F40</f>
        <v>5.5E-2</v>
      </c>
      <c r="O68" s="1892" t="s">
        <v>1043</v>
      </c>
      <c r="P68" s="1932" t="s">
        <v>1584</v>
      </c>
      <c r="Q68" s="1884">
        <f ca="1">ROUND(Q69-Q70*Q71,0)</f>
        <v>41</v>
      </c>
      <c r="R68" s="1884" t="s">
        <v>1051</v>
      </c>
    </row>
    <row r="69" spans="1:18" s="1840" customFormat="1" ht="13.5" thickBot="1">
      <c r="A69" s="1168"/>
      <c r="B69" s="1169"/>
      <c r="C69" s="350"/>
      <c r="D69" s="1187" t="s">
        <v>1474</v>
      </c>
      <c r="E69" s="1167" t="s">
        <v>1475</v>
      </c>
      <c r="F69" s="378">
        <f ca="1">F41</f>
        <v>36.450000000000003</v>
      </c>
      <c r="O69" s="1892" t="s">
        <v>1048</v>
      </c>
      <c r="P69" s="1932" t="s">
        <v>1585</v>
      </c>
      <c r="Q69" s="1884">
        <f ca="1">C39</f>
        <v>73</v>
      </c>
      <c r="R69" s="1884" t="s">
        <v>1530</v>
      </c>
    </row>
    <row r="70" spans="1:18" s="1840" customFormat="1" ht="13.5" thickBot="1">
      <c r="A70" s="1171"/>
      <c r="B70" s="1172"/>
      <c r="C70" s="354"/>
      <c r="D70" s="1183"/>
      <c r="E70" s="1167" t="s">
        <v>1478</v>
      </c>
      <c r="F70" s="1273"/>
      <c r="O70" s="1892" t="s">
        <v>1049</v>
      </c>
      <c r="P70" s="1932" t="s">
        <v>1586</v>
      </c>
      <c r="Q70" s="1884">
        <f ca="1">C13</f>
        <v>382</v>
      </c>
      <c r="R70" s="1884" t="s">
        <v>1530</v>
      </c>
    </row>
    <row r="71" spans="1:18" s="1840" customFormat="1" ht="13.5" thickBot="1">
      <c r="A71" s="1188" t="s">
        <v>1033</v>
      </c>
      <c r="B71" s="1189" t="s">
        <v>1488</v>
      </c>
      <c r="C71" s="381">
        <f ca="1">ROUND(C68*10000/F71,0)</f>
        <v>-5721</v>
      </c>
      <c r="D71" s="1190" t="s">
        <v>1489</v>
      </c>
      <c r="E71" s="1191" t="s">
        <v>1490</v>
      </c>
      <c r="F71" s="384">
        <f ca="1">F43</f>
        <v>1062.73</v>
      </c>
      <c r="O71" s="1892" t="s">
        <v>1050</v>
      </c>
      <c r="P71" s="1932" t="s">
        <v>1587</v>
      </c>
      <c r="Q71" s="1895">
        <f ca="1">C76</f>
        <v>8.5000000000000006E-2</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6"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5" t="s">
        <v>1507</v>
      </c>
      <c r="C75" s="386">
        <f ca="1">ROUND(C13*C76,0)</f>
        <v>32</v>
      </c>
      <c r="D75" s="1840"/>
      <c r="E75" s="1840"/>
      <c r="F75" s="1840"/>
      <c r="K75" s="1866"/>
      <c r="L75" s="1840"/>
      <c r="O75" s="1882" t="s">
        <v>1046</v>
      </c>
      <c r="P75" s="1883" t="s">
        <v>1550</v>
      </c>
      <c r="Q75" s="1884">
        <f ca="1">Q65+Q66</f>
        <v>1702</v>
      </c>
      <c r="R75" s="1884" t="s">
        <v>1047</v>
      </c>
    </row>
    <row r="76" spans="1:18">
      <c r="B76" s="387" t="s">
        <v>1508</v>
      </c>
      <c r="C76" s="388">
        <f ca="1">INDIRECT("'数据-取费表'!j"&amp;$G$1)</f>
        <v>8.5000000000000006E-2</v>
      </c>
      <c r="I76" s="1840"/>
      <c r="J76" s="1840"/>
      <c r="K76" s="1866"/>
      <c r="L76" s="1840"/>
    </row>
    <row r="77" spans="1:18">
      <c r="B77" s="389" t="s">
        <v>1509</v>
      </c>
      <c r="C77" s="390"/>
      <c r="I77" s="1840"/>
      <c r="J77" s="1840"/>
      <c r="K77" s="1866"/>
      <c r="L77" s="1840"/>
    </row>
    <row r="78" spans="1:18">
      <c r="B78" s="313" t="s">
        <v>1510</v>
      </c>
      <c r="C78" s="391"/>
    </row>
    <row r="79" spans="1:18">
      <c r="B79" s="385" t="s">
        <v>1511</v>
      </c>
      <c r="C79" s="317">
        <f ca="1">1-C80</f>
        <v>0.56200000000000006</v>
      </c>
    </row>
    <row r="80" spans="1:18">
      <c r="B80" s="385" t="s">
        <v>1512</v>
      </c>
      <c r="C80" s="317">
        <f ca="1">ROUND(C75/C39,3)</f>
        <v>0.438</v>
      </c>
    </row>
    <row r="81" spans="2:3">
      <c r="B81" s="313" t="s">
        <v>1513</v>
      </c>
      <c r="C81" s="281"/>
    </row>
    <row r="82" spans="2:3">
      <c r="B82" s="316" t="s">
        <v>1514</v>
      </c>
      <c r="C82" s="318">
        <f ca="1">1-C83</f>
        <v>0.77600000000000002</v>
      </c>
    </row>
    <row r="83" spans="2:3">
      <c r="B83" s="316" t="s">
        <v>1515</v>
      </c>
      <c r="C83" s="317">
        <f ca="1">ROUND(C13/C40,3)</f>
        <v>0.224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1590</v>
      </c>
      <c r="B1" s="780"/>
      <c r="C1" s="1835"/>
      <c r="D1" s="1818"/>
      <c r="E1" s="1819" t="s">
        <v>1387</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9" t="s">
        <v>1596</v>
      </c>
      <c r="B4" s="340" t="s">
        <v>1597</v>
      </c>
      <c r="C4" s="340" t="s">
        <v>1598</v>
      </c>
      <c r="D4" s="340" t="s">
        <v>1599</v>
      </c>
      <c r="E4" s="341" t="s">
        <v>1600</v>
      </c>
      <c r="F4" s="342"/>
      <c r="G4" s="1849"/>
      <c r="H4" s="339" t="s">
        <v>1596</v>
      </c>
      <c r="I4" s="340" t="s">
        <v>1597</v>
      </c>
      <c r="J4" s="340" t="s">
        <v>1598</v>
      </c>
      <c r="K4" s="340" t="s">
        <v>1599</v>
      </c>
      <c r="L4" s="341" t="s">
        <v>1600</v>
      </c>
      <c r="M4" s="342"/>
    </row>
    <row r="5" spans="1:37" ht="18" customHeight="1">
      <c r="A5" s="343">
        <v>1</v>
      </c>
      <c r="B5" s="344" t="s">
        <v>1601</v>
      </c>
      <c r="C5" s="1290">
        <f ca="1">C6+C10+C12</f>
        <v>0</v>
      </c>
      <c r="D5" s="1820" t="s">
        <v>1602</v>
      </c>
      <c r="E5" s="1291"/>
      <c r="F5" s="1292"/>
      <c r="G5" s="1849"/>
      <c r="H5" s="343">
        <v>1</v>
      </c>
      <c r="I5" s="344" t="s">
        <v>1601</v>
      </c>
      <c r="J5" s="1290">
        <f ca="1">J6+J10+J12</f>
        <v>0</v>
      </c>
      <c r="K5" s="1820" t="s">
        <v>1602</v>
      </c>
      <c r="L5" s="1291"/>
      <c r="M5" s="1292"/>
    </row>
    <row r="6" spans="1:37" ht="18" customHeight="1">
      <c r="A6" s="1289" t="s">
        <v>1035</v>
      </c>
      <c r="B6" s="3264" t="s">
        <v>1403</v>
      </c>
      <c r="C6" s="1294">
        <f ca="1">ROUND(F6*F8*F7*(1-F9),0)</f>
        <v>0</v>
      </c>
      <c r="D6" s="163" t="s">
        <v>3030</v>
      </c>
      <c r="E6" s="346" t="s">
        <v>1405</v>
      </c>
      <c r="F6" s="347">
        <f ca="1">INDIRECT("'数据-取费表'!u"&amp;$G$1)</f>
        <v>0</v>
      </c>
      <c r="G6" s="1849"/>
      <c r="H6" s="1289" t="s">
        <v>1035</v>
      </c>
      <c r="I6" s="3264" t="s">
        <v>1403</v>
      </c>
      <c r="J6" s="345">
        <f ca="1">ROUND(M6*M8*M7*(1-M9),0)</f>
        <v>0</v>
      </c>
      <c r="K6" s="1832" t="s">
        <v>3033</v>
      </c>
      <c r="L6" s="346" t="s">
        <v>1405</v>
      </c>
      <c r="M6" s="347">
        <f ca="1">INDIRECT("'数据-取费表'!z"&amp;$G$1)</f>
        <v>0</v>
      </c>
    </row>
    <row r="7" spans="1:37" ht="18" customHeight="1">
      <c r="A7" s="1293"/>
      <c r="B7" s="3265"/>
      <c r="C7" s="1295"/>
      <c r="D7" s="351"/>
      <c r="E7" s="1296" t="s">
        <v>1406</v>
      </c>
      <c r="F7" s="347">
        <f ca="1">IF(INDIRECT("'数据-取费表'!ah"&amp;$G$1)="",INDIRECT("'数据-取费表'!k"&amp;$G$1),INDIRECT("'数据-取费表'!ah"&amp;$G$1))</f>
        <v>0</v>
      </c>
      <c r="G7" s="1849"/>
      <c r="H7" s="348"/>
      <c r="I7" s="3265"/>
      <c r="J7" s="350"/>
      <c r="K7" s="351"/>
      <c r="L7" s="346" t="s">
        <v>1406</v>
      </c>
      <c r="M7" s="347">
        <f ca="1">F7</f>
        <v>0</v>
      </c>
    </row>
    <row r="8" spans="1:37" ht="18" customHeight="1">
      <c r="A8" s="348"/>
      <c r="B8" s="3265"/>
      <c r="C8" s="350"/>
      <c r="D8" s="351"/>
      <c r="E8" s="346" t="s">
        <v>1407</v>
      </c>
      <c r="F8" s="347">
        <f ca="1">INDIRECT("'数据-取费表'!ai"&amp;$G$1)</f>
        <v>0</v>
      </c>
      <c r="G8" s="1849"/>
      <c r="H8" s="348"/>
      <c r="I8" s="3265"/>
      <c r="J8" s="350"/>
      <c r="K8" s="351"/>
      <c r="L8" s="346" t="s">
        <v>1407</v>
      </c>
      <c r="M8" s="347">
        <f ca="1">INDIRECT("'数据-取费表'!ai"&amp;$G$1)</f>
        <v>0</v>
      </c>
    </row>
    <row r="9" spans="1:37" ht="18" customHeight="1">
      <c r="A9" s="348"/>
      <c r="B9" s="3266"/>
      <c r="C9" s="350"/>
      <c r="D9" s="351"/>
      <c r="E9" s="346" t="s">
        <v>1408</v>
      </c>
      <c r="F9" s="356">
        <f ca="1">INDIRECT("'数据-取费表'!w"&amp;$G$1)</f>
        <v>0</v>
      </c>
      <c r="G9" s="1849"/>
      <c r="H9" s="348"/>
      <c r="I9" s="3266"/>
      <c r="J9" s="350"/>
      <c r="K9" s="351"/>
      <c r="L9" s="357" t="s">
        <v>1408</v>
      </c>
      <c r="M9" s="358">
        <f ca="1">INDIRECT("'数据-取费表'!ab"&amp;$G$1)</f>
        <v>0</v>
      </c>
    </row>
    <row r="10" spans="1:37" ht="18" customHeight="1">
      <c r="A10" s="1289" t="s">
        <v>1039</v>
      </c>
      <c r="B10" s="1821" t="s">
        <v>1409</v>
      </c>
      <c r="C10" s="360">
        <f ca="1">ROUND(IF(F10="押一",F6*F8*F7/12*F11,IF(F10="押二",F6*F8*F7/12*2*F11,IF(F10="押三",F6*F8*F7/12*3*F11,C11*F11))),0)</f>
        <v>0</v>
      </c>
      <c r="D10" s="1822" t="s">
        <v>3031</v>
      </c>
      <c r="E10" s="357" t="s">
        <v>1411</v>
      </c>
      <c r="F10" s="1364"/>
      <c r="G10" s="1849"/>
      <c r="H10" s="1289" t="s">
        <v>1039</v>
      </c>
      <c r="I10" s="1821" t="s">
        <v>1409</v>
      </c>
      <c r="J10" s="345">
        <f ca="1">ROUND(IF(M10="押一",M6*M8*M7/12*M11,IF(M10="押二",M6*M8*M7/12*2*M11,IF(M10="押三",M6*M8*M7/12*3*M11,J11*M11))),0)</f>
        <v>0</v>
      </c>
      <c r="K10" s="1833" t="s">
        <v>3032</v>
      </c>
      <c r="L10" s="357" t="s">
        <v>1411</v>
      </c>
      <c r="M10" s="1364"/>
    </row>
    <row r="11" spans="1:37" ht="18" customHeight="1">
      <c r="A11" s="352"/>
      <c r="B11" s="1823" t="s">
        <v>1603</v>
      </c>
      <c r="C11" s="1176"/>
      <c r="D11" s="351"/>
      <c r="E11" s="357" t="s">
        <v>1413</v>
      </c>
      <c r="F11" s="358">
        <f ca="1">'数据-取费表'!B39</f>
        <v>1.4999999999999999E-2</v>
      </c>
      <c r="G11" s="1849"/>
      <c r="H11" s="1297"/>
      <c r="I11" s="1823" t="s">
        <v>1604</v>
      </c>
      <c r="J11" s="1176"/>
      <c r="K11" s="746"/>
      <c r="L11" s="357"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4">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6" t="s">
        <v>1418</v>
      </c>
      <c r="C14" s="362">
        <f ca="1">ROUND(INDIRECT("'数据-取费表'!l"&amp;$G$1)*F43+'数据-取费表'!L14*INDIRECT("'数据-取费表'!S"&amp;$G$1),0)</f>
        <v>0</v>
      </c>
      <c r="D14" s="1798" t="s">
        <v>1419</v>
      </c>
      <c r="E14" s="1792"/>
      <c r="F14" s="363"/>
      <c r="G14" s="1849"/>
      <c r="H14" s="1199" t="s">
        <v>1035</v>
      </c>
      <c r="I14" s="346" t="s">
        <v>1420</v>
      </c>
      <c r="J14" s="23">
        <f ca="1">C29</f>
        <v>0</v>
      </c>
      <c r="K14" s="14"/>
      <c r="L14" s="977"/>
      <c r="M14" s="978"/>
    </row>
    <row r="15" spans="1:37" s="1856" customFormat="1" ht="18" customHeight="1" thickBot="1">
      <c r="A15" s="1199" t="s">
        <v>1036</v>
      </c>
      <c r="B15" s="346" t="s">
        <v>1421</v>
      </c>
      <c r="C15" s="23">
        <f ca="1">ROUND(C14*F15,0)</f>
        <v>0</v>
      </c>
      <c r="D15" s="364" t="s">
        <v>1422</v>
      </c>
      <c r="E15" s="364" t="s">
        <v>1423</v>
      </c>
      <c r="F15" s="365">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1424</v>
      </c>
      <c r="C16" s="23">
        <f ca="1">ROUND(INDIRECT("'数据-取费表'!l"&amp;$G$1)*F43*F16,0)</f>
        <v>0</v>
      </c>
      <c r="D16" s="346" t="s">
        <v>1422</v>
      </c>
      <c r="E16" s="346" t="s">
        <v>1423</v>
      </c>
      <c r="F16" s="366">
        <f ca="1">IF(INDIRECT("'数据-取费表'!c"&amp;$G$1)="住宅",'数据-取费表'!B34,0)</f>
        <v>0</v>
      </c>
      <c r="G16" s="1849"/>
      <c r="H16" s="1327" t="s">
        <v>1030</v>
      </c>
      <c r="I16" s="1328" t="s">
        <v>1425</v>
      </c>
      <c r="J16" s="354">
        <f ca="1">ROUND(J17+J22+J23+J24,0)</f>
        <v>0</v>
      </c>
      <c r="K16" s="1335" t="s">
        <v>1426</v>
      </c>
      <c r="L16" s="1336"/>
      <c r="M16" s="1292"/>
    </row>
    <row r="17" spans="1:37" s="1856" customFormat="1" ht="18" customHeight="1">
      <c r="A17" s="1199" t="s">
        <v>1390</v>
      </c>
      <c r="B17" s="346" t="s">
        <v>1427</v>
      </c>
      <c r="C17" s="23">
        <f ca="1">ROUND(F17*(F43+INDIRECT("'数据-取费表'!S"&amp;$G$1)),0)</f>
        <v>0</v>
      </c>
      <c r="D17" s="346" t="s">
        <v>1428</v>
      </c>
      <c r="E17" s="346" t="s">
        <v>1429</v>
      </c>
      <c r="F17" s="25">
        <f>'数据-取费表'!B35</f>
        <v>200</v>
      </c>
      <c r="G17" s="1852"/>
      <c r="H17" s="1199" t="s">
        <v>1035</v>
      </c>
      <c r="I17" s="346" t="s">
        <v>1430</v>
      </c>
      <c r="J17" s="23">
        <f ca="1">ROUND(IF(项目基本情况!B11="自然人",J5*M17,J18+J19+J20),0)</f>
        <v>0</v>
      </c>
      <c r="K17" s="1798" t="s">
        <v>1431</v>
      </c>
      <c r="L17" s="1796" t="s">
        <v>1432</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1433</v>
      </c>
      <c r="C18" s="23">
        <f ca="1">ROUND(C14*F18,0)</f>
        <v>0</v>
      </c>
      <c r="D18" s="346" t="s">
        <v>1422</v>
      </c>
      <c r="E18" s="346" t="s">
        <v>1423</v>
      </c>
      <c r="F18" s="366">
        <f>'数据-取费表'!B36</f>
        <v>1.4999999999999999E-2</v>
      </c>
      <c r="G18" s="1852"/>
      <c r="H18" s="1199" t="s">
        <v>1034</v>
      </c>
      <c r="I18" s="346" t="s">
        <v>1434</v>
      </c>
      <c r="J18" s="23">
        <f ca="1">ROUND(J5*M18/(1+'数据-取费表'!C42),0)</f>
        <v>0</v>
      </c>
      <c r="K18" s="1796" t="s">
        <v>1435</v>
      </c>
      <c r="L18" s="346" t="s">
        <v>1423</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1436</v>
      </c>
      <c r="C19" s="23">
        <f ca="1">SUM(C14:C18)</f>
        <v>0</v>
      </c>
      <c r="D19" s="139" t="s">
        <v>1437</v>
      </c>
      <c r="E19" s="1816"/>
      <c r="F19" s="25"/>
      <c r="G19" s="1849"/>
      <c r="H19" s="1199" t="s">
        <v>1036</v>
      </c>
      <c r="I19" s="346" t="s">
        <v>1438</v>
      </c>
      <c r="J19" s="23">
        <f ca="1">IF(K19="按租金收入计税",ROUND(J5*M19,0),ROUND(C29*M19*0.7,0))</f>
        <v>0</v>
      </c>
      <c r="K19" s="1826" t="s">
        <v>1439</v>
      </c>
      <c r="L19" s="346" t="s">
        <v>1423</v>
      </c>
      <c r="M19" s="366">
        <f>IF(K19="按租金收入计税",'数据-取费表'!B51,'数据-取费表'!B50)</f>
        <v>1.2E-2</v>
      </c>
    </row>
    <row r="20" spans="1:37" s="1856" customFormat="1" ht="18" customHeight="1">
      <c r="A20" s="1199" t="s">
        <v>1039</v>
      </c>
      <c r="B20" s="346" t="s">
        <v>1440</v>
      </c>
      <c r="C20" s="23">
        <f ca="1">ROUND(C19*F20,0)</f>
        <v>0</v>
      </c>
      <c r="D20" s="368" t="s">
        <v>1441</v>
      </c>
      <c r="E20" s="346" t="s">
        <v>1423</v>
      </c>
      <c r="F20" s="366">
        <f>'数据-取费表'!B37</f>
        <v>0.02</v>
      </c>
      <c r="G20" s="1852"/>
      <c r="H20" s="1199" t="s">
        <v>1389</v>
      </c>
      <c r="I20" s="163" t="s">
        <v>1442</v>
      </c>
      <c r="J20" s="24">
        <f ca="1">ROUND(M20*M21,0)</f>
        <v>0</v>
      </c>
      <c r="K20" s="369" t="s">
        <v>1443</v>
      </c>
      <c r="L20" s="346" t="s">
        <v>1444</v>
      </c>
      <c r="M20" s="370">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1445</v>
      </c>
      <c r="C21" s="23" t="s">
        <v>1</v>
      </c>
      <c r="D21" s="368" t="s">
        <v>1446</v>
      </c>
      <c r="E21" s="346" t="s">
        <v>1447</v>
      </c>
      <c r="F21" s="366">
        <f>'数据-取费表'!B38</f>
        <v>0.02</v>
      </c>
      <c r="G21" s="1852"/>
      <c r="H21" s="371"/>
      <c r="I21" s="355"/>
      <c r="J21" s="28"/>
      <c r="K21" s="372"/>
      <c r="L21" s="346" t="s">
        <v>1448</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1449</v>
      </c>
      <c r="C22" s="23"/>
      <c r="D22" s="139" t="str">
        <f>IF(F23&lt;=1,"单利计息。","复利计息。")&amp;"建造成本、管理费用、销售费用产生的利息。"</f>
        <v>复利计息。建造成本、管理费用、销售费用产生的利息。</v>
      </c>
      <c r="E22" s="1816"/>
      <c r="F22" s="25"/>
      <c r="G22" s="1849"/>
      <c r="H22" s="1199" t="s">
        <v>1039</v>
      </c>
      <c r="I22" s="346" t="s">
        <v>1450</v>
      </c>
      <c r="J22" s="23">
        <f ca="1">ROUND(J14*M22,0)</f>
        <v>0</v>
      </c>
      <c r="K22" s="1796" t="s">
        <v>1451</v>
      </c>
      <c r="L22" s="346" t="s">
        <v>1423</v>
      </c>
      <c r="M22" s="373">
        <f ca="1">INDIRECT("'数据-取费表'!Ak"&amp;$G$1)</f>
        <v>0</v>
      </c>
    </row>
    <row r="23" spans="1:37" s="1856" customFormat="1" ht="18" customHeight="1">
      <c r="A23" s="1199"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2"/>
      <c r="H23" s="1199" t="s">
        <v>1075</v>
      </c>
      <c r="I23" s="346" t="s">
        <v>1454</v>
      </c>
      <c r="J23" s="23">
        <f ca="1">ROUND(J13*M23,0)</f>
        <v>0</v>
      </c>
      <c r="K23" s="1796" t="s">
        <v>1455</v>
      </c>
      <c r="L23" s="346" t="s">
        <v>1456</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6" t="s">
        <v>1458</v>
      </c>
      <c r="C24" s="23">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6" t="s">
        <v>1462</v>
      </c>
      <c r="C25" s="23"/>
      <c r="D25" s="139" t="s">
        <v>1463</v>
      </c>
      <c r="E25" s="1816"/>
      <c r="F25" s="25"/>
      <c r="G25" s="1849"/>
      <c r="H25" s="1327" t="s">
        <v>1031</v>
      </c>
      <c r="I25" s="1342" t="s">
        <v>1464</v>
      </c>
      <c r="J25" s="354">
        <f ca="1">J5-J16</f>
        <v>0</v>
      </c>
      <c r="K25" s="1343" t="s">
        <v>1465</v>
      </c>
      <c r="L25" s="1344"/>
      <c r="M25" s="1345"/>
    </row>
    <row r="26" spans="1:37" ht="18" customHeight="1">
      <c r="A26" s="1199" t="s">
        <v>1034</v>
      </c>
      <c r="B26" s="346" t="s">
        <v>1466</v>
      </c>
      <c r="C26" s="23">
        <f ca="1">ROUND((C19+C20)*F26,0)</f>
        <v>0</v>
      </c>
      <c r="D26" s="368" t="s">
        <v>1467</v>
      </c>
      <c r="E26" s="357" t="s">
        <v>1468</v>
      </c>
      <c r="F26" s="356">
        <f ca="1">INDIRECT("'数据-取费表'!q"&amp;$G$1)</f>
        <v>0</v>
      </c>
      <c r="G26" s="1849"/>
      <c r="H26" s="343" t="s">
        <v>1032</v>
      </c>
      <c r="I26" s="344" t="s">
        <v>1469</v>
      </c>
      <c r="J26" s="345">
        <f ca="1">IF(J5&lt;&gt;0,ROUND(J25*(1-((1+M28)/(1+M26))^M27)/(M26-M28),0),0)</f>
        <v>0</v>
      </c>
      <c r="K26" s="369" t="s">
        <v>1470</v>
      </c>
      <c r="L26" s="346" t="s">
        <v>1471</v>
      </c>
      <c r="M26" s="356">
        <f ca="1">INDIRECT("'数据-取费表'!I"&amp;$G$1)</f>
        <v>0</v>
      </c>
    </row>
    <row r="27" spans="1:37" ht="18" customHeight="1">
      <c r="A27" s="1199" t="s">
        <v>1036</v>
      </c>
      <c r="B27" s="346" t="s">
        <v>1472</v>
      </c>
      <c r="C27" s="23">
        <f ca="1">ROUND(F21*F26,4)</f>
        <v>0</v>
      </c>
      <c r="D27" s="368" t="s">
        <v>1473</v>
      </c>
      <c r="E27" s="364"/>
      <c r="F27" s="365"/>
      <c r="G27" s="1849"/>
      <c r="H27" s="348"/>
      <c r="I27" s="349"/>
      <c r="J27" s="350"/>
      <c r="K27" s="377" t="s">
        <v>1474</v>
      </c>
      <c r="L27" s="346" t="s">
        <v>1475</v>
      </c>
      <c r="M27" s="378">
        <f ca="1">INDIRECT("'数据-取费表'!ag"&amp;$G$1)</f>
        <v>0</v>
      </c>
    </row>
    <row r="28" spans="1:37" s="1856" customFormat="1" ht="18" customHeight="1">
      <c r="A28" s="1199" t="s">
        <v>1037</v>
      </c>
      <c r="B28" s="346" t="s">
        <v>1476</v>
      </c>
      <c r="C28" s="23">
        <f>ROUND(F28/(1+'数据-取费表'!C42),4)</f>
        <v>5.33E-2</v>
      </c>
      <c r="D28" s="368" t="s">
        <v>1477</v>
      </c>
      <c r="E28" s="346" t="s">
        <v>1423</v>
      </c>
      <c r="F28" s="366">
        <f>'数据-取费表'!B41</f>
        <v>5.6000000000000001E-2</v>
      </c>
      <c r="G28" s="1852"/>
      <c r="H28" s="352"/>
      <c r="I28" s="353"/>
      <c r="J28" s="354"/>
      <c r="K28" s="372"/>
      <c r="L28" s="346" t="s">
        <v>1478</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79" t="s">
        <v>1033</v>
      </c>
      <c r="I29" s="380" t="s">
        <v>1480</v>
      </c>
      <c r="J29" s="381">
        <f ca="1">ROUND(J26/(1+F40)^F41,0)</f>
        <v>0</v>
      </c>
      <c r="K29" s="382" t="s">
        <v>1481</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4">
        <f ca="1">ROUND(C31+C36+C37+C38,0)</f>
        <v>0</v>
      </c>
      <c r="D30" s="1335" t="s">
        <v>1426</v>
      </c>
      <c r="E30" s="1336"/>
      <c r="F30" s="1292"/>
      <c r="G30" s="1849"/>
      <c r="H30" s="743"/>
      <c r="I30" s="744"/>
      <c r="J30" s="745"/>
      <c r="K30" s="746"/>
      <c r="L30" s="747"/>
      <c r="M30" s="748"/>
    </row>
    <row r="31" spans="1:37" ht="18" customHeight="1">
      <c r="A31" s="1199" t="s">
        <v>1035</v>
      </c>
      <c r="B31" s="346" t="s">
        <v>1430</v>
      </c>
      <c r="C31" s="23">
        <f ca="1">ROUND(IF(项目基本情况!B11="自然人",C5*F31,C32+C33+C34),0)</f>
        <v>0</v>
      </c>
      <c r="D31" s="1798" t="s">
        <v>1431</v>
      </c>
      <c r="E31" s="1796" t="s">
        <v>1482</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1434</v>
      </c>
      <c r="C32" s="23">
        <f ca="1">IF(项目基本情况!B11="自然人","——",ROUND(C5*F32/(1+'数据-取费表'!C42),0))</f>
        <v>0</v>
      </c>
      <c r="D32" s="1796" t="s">
        <v>1435</v>
      </c>
      <c r="E32" s="346" t="s">
        <v>1423</v>
      </c>
      <c r="F32" s="376">
        <f>'数据-取费表'!B41</f>
        <v>5.6000000000000001E-2</v>
      </c>
      <c r="G32" s="1849"/>
      <c r="H32" s="743"/>
      <c r="I32" s="744"/>
      <c r="J32" s="745"/>
      <c r="K32" s="746"/>
      <c r="L32" s="747"/>
      <c r="M32" s="748"/>
    </row>
    <row r="33" spans="1:18" ht="18" customHeight="1">
      <c r="A33" s="1199" t="s">
        <v>1036</v>
      </c>
      <c r="B33" s="346" t="s">
        <v>1438</v>
      </c>
      <c r="C33" s="23">
        <f ca="1">IF(项目基本情况!B11="自然人","——",IF(D33="按租金收入计税",ROUND(C5*F33,0),IF(D33="按房产原值计税",ROUND(C29*F33*0.7,0),INDIRECT("'数据-取费表'!Aj"&amp;$G$1))))</f>
        <v>0</v>
      </c>
      <c r="D33" s="1826" t="s">
        <v>1439</v>
      </c>
      <c r="E33" s="346" t="s">
        <v>1423</v>
      </c>
      <c r="F33" s="366">
        <f>IF(D33="按票据","——",IF(D33="按租金收入计税",'数据-取费表'!B51,'数据-取费表'!B50))</f>
        <v>1.2E-2</v>
      </c>
      <c r="G33" s="1849"/>
      <c r="H33" s="1857"/>
      <c r="I33" s="1858"/>
      <c r="J33" s="1859"/>
      <c r="K33" s="1860"/>
      <c r="L33" s="1857"/>
      <c r="M33" s="1857"/>
    </row>
    <row r="34" spans="1:18" ht="18" customHeight="1">
      <c r="A34" s="1289" t="s">
        <v>1389</v>
      </c>
      <c r="B34" s="163" t="s">
        <v>1442</v>
      </c>
      <c r="C34" s="24">
        <f ca="1">IF(项目基本情况!B11="自然人","——",ROUND(F34*F35,))</f>
        <v>0</v>
      </c>
      <c r="D34" s="369" t="s">
        <v>1443</v>
      </c>
      <c r="E34" s="346" t="s">
        <v>1444</v>
      </c>
      <c r="F34" s="370">
        <f>'数据-取费表'!B52</f>
        <v>20</v>
      </c>
      <c r="G34" s="1849"/>
      <c r="H34" s="743"/>
      <c r="I34" s="1858"/>
      <c r="J34" s="1859"/>
      <c r="K34" s="1861"/>
      <c r="L34" s="1862"/>
      <c r="M34" s="1862"/>
    </row>
    <row r="35" spans="1:18" ht="18" customHeight="1">
      <c r="A35" s="1351"/>
      <c r="B35" s="1349"/>
      <c r="C35" s="28"/>
      <c r="D35" s="372"/>
      <c r="E35" s="346" t="s">
        <v>1448</v>
      </c>
      <c r="F35" s="347">
        <f ca="1">INDIRECT("'数据-取费表'!r"&amp;$G$1)</f>
        <v>0</v>
      </c>
      <c r="G35" s="1849"/>
      <c r="H35" s="743"/>
      <c r="I35" s="1858"/>
      <c r="J35" s="1859"/>
      <c r="K35" s="1860"/>
      <c r="L35" s="1857"/>
      <c r="M35" s="1857"/>
    </row>
    <row r="36" spans="1:18" ht="18" customHeight="1">
      <c r="A36" s="1350" t="s">
        <v>1039</v>
      </c>
      <c r="B36" s="346" t="s">
        <v>1450</v>
      </c>
      <c r="C36" s="23">
        <f ca="1">ROUND(C29*F36,0)</f>
        <v>0</v>
      </c>
      <c r="D36" s="1796" t="s">
        <v>1483</v>
      </c>
      <c r="E36" s="346" t="s">
        <v>1423</v>
      </c>
      <c r="F36" s="373">
        <f ca="1">INDIRECT("'数据-取费表'!Ak"&amp;$G$1)</f>
        <v>0</v>
      </c>
      <c r="G36" s="1849"/>
      <c r="H36" s="1857"/>
      <c r="I36" s="1858"/>
      <c r="J36" s="1859"/>
      <c r="K36" s="749"/>
      <c r="L36" s="1857"/>
      <c r="M36" s="1857"/>
    </row>
    <row r="37" spans="1:18" ht="18" customHeight="1">
      <c r="A37" s="1199" t="s">
        <v>1075</v>
      </c>
      <c r="B37" s="346" t="s">
        <v>1454</v>
      </c>
      <c r="C37" s="23">
        <f ca="1">ROUND(C13*F37,0)</f>
        <v>0</v>
      </c>
      <c r="D37" s="1796" t="s">
        <v>1455</v>
      </c>
      <c r="E37" s="346" t="s">
        <v>1456</v>
      </c>
      <c r="F37" s="375">
        <f ca="1">INDIRECT("'数据-取费表'!Al"&amp;$G$1)</f>
        <v>0</v>
      </c>
      <c r="G37" s="1849"/>
      <c r="H37" s="1857"/>
      <c r="I37" s="1858"/>
      <c r="J37" s="1859"/>
      <c r="K37" s="749"/>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4">
        <f ca="1">C5-C30</f>
        <v>0</v>
      </c>
      <c r="D39" s="1343" t="s">
        <v>1485</v>
      </c>
      <c r="E39" s="1344"/>
      <c r="F39" s="1345"/>
      <c r="G39" s="1849"/>
      <c r="H39" s="1857"/>
      <c r="I39" s="1858"/>
      <c r="J39" s="1859"/>
      <c r="K39" s="1863"/>
      <c r="L39" s="1857"/>
      <c r="M39" s="1857"/>
    </row>
    <row r="40" spans="1:18" ht="18" customHeight="1">
      <c r="A40" s="343" t="s">
        <v>1032</v>
      </c>
      <c r="B40" s="344" t="s">
        <v>1486</v>
      </c>
      <c r="C40" s="345" t="e">
        <f ca="1">ROUND(C39*(1-((1+F42)/(1+F40))^F41)/(F40-F42),0)</f>
        <v>#DIV/0!</v>
      </c>
      <c r="D40" s="369" t="s">
        <v>1470</v>
      </c>
      <c r="E40" s="346" t="s">
        <v>1471</v>
      </c>
      <c r="F40" s="356">
        <f ca="1">INDIRECT("'数据-取费表'!I"&amp;$G$1)</f>
        <v>0</v>
      </c>
      <c r="G40" s="1849"/>
      <c r="H40" s="1837"/>
      <c r="I40" s="1858"/>
      <c r="J40" s="1859"/>
      <c r="K40" s="1863"/>
      <c r="L40" s="1837"/>
      <c r="M40" s="1837"/>
    </row>
    <row r="41" spans="1:18" ht="18" customHeight="1">
      <c r="A41" s="348"/>
      <c r="B41" s="349"/>
      <c r="C41" s="350"/>
      <c r="D41" s="377" t="s">
        <v>1487</v>
      </c>
      <c r="E41" s="346" t="s">
        <v>1475</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1478</v>
      </c>
      <c r="F42" s="356">
        <f ca="1">INDIRECT("'数据-取费表'!v"&amp;$G$1)</f>
        <v>0</v>
      </c>
      <c r="G42" s="1849"/>
      <c r="H42" s="730"/>
      <c r="I42" s="1858"/>
      <c r="J42" s="1859"/>
      <c r="K42" s="749"/>
      <c r="L42" s="730"/>
      <c r="M42" s="730"/>
    </row>
    <row r="43" spans="1:18" ht="18" customHeight="1" thickBot="1">
      <c r="A43" s="379" t="s">
        <v>1033</v>
      </c>
      <c r="B43" s="380" t="s">
        <v>1488</v>
      </c>
      <c r="C43" s="381" t="e">
        <f ca="1">ROUND(C40/F43,0)</f>
        <v>#DIV/0!</v>
      </c>
      <c r="D43" s="382" t="s">
        <v>1489</v>
      </c>
      <c r="E43" s="383" t="s">
        <v>1490</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4" t="s">
        <v>1401</v>
      </c>
      <c r="C48" s="1815">
        <f ca="1">C49+C53+C55</f>
        <v>0</v>
      </c>
      <c r="D48" s="1360"/>
      <c r="E48" s="1361"/>
      <c r="F48" s="1179"/>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1"/>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7">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8" t="s">
        <v>1409</v>
      </c>
      <c r="C53" s="360">
        <f ca="1">ROUND(IF(F53="押一",F49*F51*F50/12*F11,IF(F53="押二",F49*F51*F50/12*2*F11,IF(F53="押三",F49*F51*F50/12*3*F11,C54*F11))),0)</f>
        <v>0</v>
      </c>
      <c r="D53" s="1822" t="s">
        <v>1410</v>
      </c>
      <c r="E53" s="357" t="s">
        <v>1411</v>
      </c>
      <c r="F53" s="1364"/>
      <c r="I53" s="1903" t="s">
        <v>1548</v>
      </c>
      <c r="J53" s="1904" t="b">
        <f>IF(M47="住宅",J51,IF(D1="——",MIN(J51,L48),IF(D1="在建（套用方法）",MIN(J51,L48-'数据-取费表'!B24),IF(D1="土地（套用方法）",MIN(J51,L48-'数据-取费表'!B20)))))</f>
        <v>0</v>
      </c>
      <c r="K53" s="3262" t="s">
        <v>1549</v>
      </c>
      <c r="L53" s="3263"/>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5">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1">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9" t="s">
        <v>1030</v>
      </c>
      <c r="B58" s="1175" t="s">
        <v>1425</v>
      </c>
      <c r="C58" s="360">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3">
        <f ca="1">ROUND(IF(项目基本情况!B11="自然人",C48*F59,C60+C61+C62),0)</f>
        <v>0</v>
      </c>
      <c r="D59" s="1180" t="s">
        <v>1431</v>
      </c>
      <c r="E59" s="1181" t="s">
        <v>1432</v>
      </c>
      <c r="F59" s="367"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3">
        <f ca="1">IF(项目基本情况!B11="自然人","——",ROUND(C48*F60/(1+'数据-取费表'!C42),0))</f>
        <v>0</v>
      </c>
      <c r="D60" s="1181" t="s">
        <v>1435</v>
      </c>
      <c r="E60" s="1167" t="s">
        <v>1423</v>
      </c>
      <c r="F60" s="376">
        <f t="shared" ref="F60:F66" si="0">F32</f>
        <v>5.6000000000000001E-2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3">
        <f ca="1">IF(项目基本情况!B11="自然人","——",IF(D61="按租金收入计税",ROUND(C48*F61,0),IF(D61="按房产原值计税",ROUND(C57*F61*0.7,0),INDIRECT("'数据-取费表'!Aj"&amp;$G$1))))</f>
        <v>0</v>
      </c>
      <c r="D61" s="1826" t="s">
        <v>1439</v>
      </c>
      <c r="E61" s="1167" t="s">
        <v>1495</v>
      </c>
      <c r="F61" s="366">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4">
        <f ca="1">IF(项目基本情况!B11="自然人","——",ROUND(F62*F63,0))</f>
        <v>0</v>
      </c>
      <c r="D62" s="1182" t="s">
        <v>1498</v>
      </c>
      <c r="E62" s="1167" t="s">
        <v>1499</v>
      </c>
      <c r="F62" s="370">
        <f t="shared" si="0"/>
        <v>20</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1"/>
      <c r="B63" s="1173"/>
      <c r="C63" s="28"/>
      <c r="D63" s="1183"/>
      <c r="E63" s="1167" t="s">
        <v>1500</v>
      </c>
      <c r="F63" s="347">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3">
        <f ca="1">ROUND(C57*F64,0)</f>
        <v>0</v>
      </c>
      <c r="D64" s="1181" t="s">
        <v>1503</v>
      </c>
      <c r="E64" s="1167" t="s">
        <v>1495</v>
      </c>
      <c r="F64" s="373">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3">
        <f ca="1">ROUND(C56*F65,0)</f>
        <v>0</v>
      </c>
      <c r="D65" s="1181" t="s">
        <v>1455</v>
      </c>
      <c r="E65" s="1167" t="s">
        <v>1456</v>
      </c>
      <c r="F65" s="375">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3">
        <f ca="1">ROUND(C48*F66,0)</f>
        <v>0</v>
      </c>
      <c r="D66" s="1181" t="s">
        <v>1506</v>
      </c>
      <c r="E66" s="1167" t="s">
        <v>1423</v>
      </c>
      <c r="F66" s="356">
        <f t="shared" ca="1" si="0"/>
        <v>0</v>
      </c>
      <c r="O66" s="1882" t="s">
        <v>1041</v>
      </c>
      <c r="P66" s="1883" t="s">
        <v>1559</v>
      </c>
      <c r="Q66" s="1884" t="e">
        <f ca="1">L60</f>
        <v>#DIV/0!</v>
      </c>
      <c r="R66" s="1884" t="s">
        <v>1582</v>
      </c>
    </row>
    <row r="67" spans="1:18" s="1840" customFormat="1" ht="16.5" thickBot="1">
      <c r="A67" s="1174" t="s">
        <v>1031</v>
      </c>
      <c r="B67" s="1184" t="s">
        <v>1464</v>
      </c>
      <c r="C67" s="360">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5" t="e">
        <f ca="1">ROUND(C67*(1-((1+F70)/(1+F68))^F69)/(F68-F70),0)</f>
        <v>#DIV/0!</v>
      </c>
      <c r="D68" s="1182" t="s">
        <v>1470</v>
      </c>
      <c r="E68" s="1167" t="s">
        <v>1471</v>
      </c>
      <c r="F68" s="356">
        <f ca="1">F40</f>
        <v>0</v>
      </c>
      <c r="O68" s="1892" t="s">
        <v>1043</v>
      </c>
      <c r="P68" s="1932" t="s">
        <v>1584</v>
      </c>
      <c r="Q68" s="1884">
        <f ca="1">ROUND(Q69-Q70*Q71,0)</f>
        <v>0</v>
      </c>
      <c r="R68" s="1884" t="s">
        <v>1051</v>
      </c>
    </row>
    <row r="69" spans="1:18" s="1840" customFormat="1" ht="13.5" thickBot="1">
      <c r="A69" s="1168"/>
      <c r="B69" s="1169"/>
      <c r="C69" s="350"/>
      <c r="D69" s="1187" t="s">
        <v>1474</v>
      </c>
      <c r="E69" s="1167" t="s">
        <v>1475</v>
      </c>
      <c r="F69" s="378">
        <f ca="1">F41</f>
        <v>0</v>
      </c>
      <c r="O69" s="1892" t="s">
        <v>1048</v>
      </c>
      <c r="P69" s="1932" t="s">
        <v>1585</v>
      </c>
      <c r="Q69" s="1884">
        <f ca="1">C39</f>
        <v>0</v>
      </c>
      <c r="R69" s="1884" t="s">
        <v>1530</v>
      </c>
    </row>
    <row r="70" spans="1:18" s="1840" customFormat="1" ht="13.5" thickBot="1">
      <c r="A70" s="1171"/>
      <c r="B70" s="1172"/>
      <c r="C70" s="354"/>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1" t="e">
        <f ca="1">ROUND(C68/F71,0)</f>
        <v>#DIV/0!</v>
      </c>
      <c r="D71" s="1190" t="s">
        <v>1489</v>
      </c>
      <c r="E71" s="1191" t="s">
        <v>1490</v>
      </c>
      <c r="F71" s="384">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6"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5" t="s">
        <v>1507</v>
      </c>
      <c r="C75" s="386">
        <f ca="1">ROUND(C13*C76,0)</f>
        <v>0</v>
      </c>
      <c r="D75" s="1840"/>
      <c r="E75" s="1840"/>
      <c r="F75" s="1840"/>
      <c r="K75" s="1866"/>
      <c r="L75" s="1840"/>
      <c r="O75" s="1882" t="s">
        <v>1046</v>
      </c>
      <c r="P75" s="1883" t="s">
        <v>1550</v>
      </c>
      <c r="Q75" s="1884" t="e">
        <f ca="1">Q65+Q66</f>
        <v>#DIV/0!</v>
      </c>
      <c r="R75" s="1884" t="s">
        <v>1047</v>
      </c>
    </row>
    <row r="76" spans="1:18">
      <c r="B76" s="387" t="s">
        <v>1508</v>
      </c>
      <c r="C76" s="388">
        <f ca="1">INDIRECT("'数据-取费表'!j"&amp;$G$1)</f>
        <v>0</v>
      </c>
      <c r="I76" s="1840"/>
      <c r="J76" s="1840"/>
      <c r="K76" s="1866"/>
      <c r="L76" s="1840"/>
    </row>
    <row r="77" spans="1:18">
      <c r="B77" s="389" t="s">
        <v>1509</v>
      </c>
      <c r="C77" s="390"/>
      <c r="I77" s="1840"/>
      <c r="J77" s="1840"/>
      <c r="K77" s="1866"/>
      <c r="L77" s="1840"/>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2526</v>
      </c>
      <c r="B1" s="2560"/>
      <c r="C1" s="2560"/>
      <c r="D1" s="2560"/>
      <c r="E1" s="2561"/>
    </row>
    <row r="2" spans="1:6" ht="15.75">
      <c r="A2" s="2562" t="s">
        <v>2330</v>
      </c>
      <c r="B2" s="2563">
        <f ca="1">SUMIF(B6:B13,"&lt;&gt;#ref!",B6:B13)</f>
        <v>1709</v>
      </c>
      <c r="C2" s="2564" t="s">
        <v>2519</v>
      </c>
      <c r="D2" s="2565" t="s">
        <v>2520</v>
      </c>
      <c r="E2" s="2566">
        <f>SUM(E6:E13)</f>
        <v>1062.73</v>
      </c>
    </row>
    <row r="3" spans="1:6" ht="15.75">
      <c r="A3" s="2562" t="s">
        <v>1395</v>
      </c>
      <c r="B3" s="2563">
        <f ca="1">ROUND(B2*10000/E2,0)</f>
        <v>16081</v>
      </c>
      <c r="C3" s="2564" t="s">
        <v>2527</v>
      </c>
      <c r="D3" s="2567"/>
      <c r="E3" s="2568"/>
    </row>
    <row r="4" spans="1:6" ht="15.75">
      <c r="A4" s="2569"/>
      <c r="B4" s="2567"/>
      <c r="C4" s="2567"/>
      <c r="D4" s="2567"/>
      <c r="E4" s="2568"/>
    </row>
    <row r="5" spans="1:6" ht="15">
      <c r="A5" s="2570" t="s">
        <v>2521</v>
      </c>
      <c r="B5" s="3267" t="s">
        <v>2522</v>
      </c>
      <c r="C5" s="3267"/>
      <c r="D5" s="2571"/>
      <c r="E5" s="2572" t="s">
        <v>2523</v>
      </c>
      <c r="F5" s="2573" t="s">
        <v>2524</v>
      </c>
    </row>
    <row r="6" spans="1:6">
      <c r="A6" s="2574">
        <f>'数据-取费表'!AN6</f>
        <v>0</v>
      </c>
      <c r="B6" s="2573" t="e">
        <f ca="1">IF(F6="是",'数据-取费表'!AO6,0)</f>
        <v>#REF!</v>
      </c>
      <c r="C6" s="2564" t="s">
        <v>2519</v>
      </c>
      <c r="D6" s="2567"/>
      <c r="E6" s="2575">
        <f>IF(OR(A6=0,F6="否"),0,'数据-取费表'!K6+'数据-取费表'!S6)</f>
        <v>0</v>
      </c>
      <c r="F6" s="2576" t="s">
        <v>2525</v>
      </c>
    </row>
    <row r="7" spans="1:6">
      <c r="A7" s="2574" t="str">
        <f>'数据-取费表'!AN7</f>
        <v>收益法-商业</v>
      </c>
      <c r="B7" s="2573">
        <f ca="1">IF(F7="是",'数据-取费表'!AO7,0)</f>
        <v>1709</v>
      </c>
      <c r="C7" s="2564" t="s">
        <v>2519</v>
      </c>
      <c r="D7" s="2567"/>
      <c r="E7" s="2575">
        <f>IF(OR(A7=0,F7="否"),0,'数据-取费表'!K7+'数据-取费表'!S7)</f>
        <v>1062.73</v>
      </c>
      <c r="F7" s="2576" t="s">
        <v>2525</v>
      </c>
    </row>
    <row r="8" spans="1:6">
      <c r="A8" s="2574">
        <f>'数据-取费表'!AN8</f>
        <v>0</v>
      </c>
      <c r="B8" s="2573" t="e">
        <f ca="1">IF(F8="是",'数据-取费表'!AO8,0)</f>
        <v>#REF!</v>
      </c>
      <c r="C8" s="2564" t="s">
        <v>2519</v>
      </c>
      <c r="D8" s="2567"/>
      <c r="E8" s="2575">
        <f>IF(OR(A8=0,F8="否"),0,'数据-取费表'!K8+'数据-取费表'!S8)</f>
        <v>0</v>
      </c>
      <c r="F8" s="2576" t="s">
        <v>2525</v>
      </c>
    </row>
    <row r="9" spans="1:6">
      <c r="A9" s="2574">
        <f>'数据-取费表'!AN9</f>
        <v>0</v>
      </c>
      <c r="B9" s="2573" t="e">
        <f ca="1">IF(F9="是",'数据-取费表'!AO9,0)</f>
        <v>#REF!</v>
      </c>
      <c r="C9" s="2564" t="s">
        <v>2519</v>
      </c>
      <c r="D9" s="2567"/>
      <c r="E9" s="2575">
        <f>IF(OR(A9=0,F9="否"),0,'数据-取费表'!K9+'数据-取费表'!S9)</f>
        <v>0</v>
      </c>
      <c r="F9" s="2576" t="s">
        <v>2525</v>
      </c>
    </row>
    <row r="10" spans="1:6">
      <c r="A10" s="2574">
        <f>'数据-取费表'!AN10</f>
        <v>0</v>
      </c>
      <c r="B10" s="2573" t="e">
        <f ca="1">IF(F10="是",'数据-取费表'!AO10,0)</f>
        <v>#REF!</v>
      </c>
      <c r="C10" s="2564" t="s">
        <v>2519</v>
      </c>
      <c r="D10" s="2567"/>
      <c r="E10" s="2575">
        <f>IF(OR(A10=0,F10="否"),0,'数据-取费表'!K10+'数据-取费表'!S10)</f>
        <v>0</v>
      </c>
      <c r="F10" s="2576" t="s">
        <v>2525</v>
      </c>
    </row>
    <row r="11" spans="1:6">
      <c r="A11" s="2574">
        <f>'数据-取费表'!AN11</f>
        <v>0</v>
      </c>
      <c r="B11" s="2573" t="e">
        <f ca="1">IF(F11="是",'数据-取费表'!AO11,0)</f>
        <v>#REF!</v>
      </c>
      <c r="C11" s="2564" t="s">
        <v>2519</v>
      </c>
      <c r="D11" s="2567"/>
      <c r="E11" s="2575">
        <f>IF(OR(A11=0,F11="否"),0,'数据-取费表'!K11+'数据-取费表'!S11)</f>
        <v>0</v>
      </c>
      <c r="F11" s="2576" t="s">
        <v>2525</v>
      </c>
    </row>
    <row r="12" spans="1:6">
      <c r="A12" s="2574">
        <f>'数据-取费表'!AN12</f>
        <v>0</v>
      </c>
      <c r="B12" s="2573" t="e">
        <f ca="1">IF(F12="是",'数据-取费表'!AO12,0)</f>
        <v>#REF!</v>
      </c>
      <c r="C12" s="2564" t="s">
        <v>2519</v>
      </c>
      <c r="D12" s="2567"/>
      <c r="E12" s="2575">
        <f>IF(OR(A12=0,F12="否"),0,'数据-取费表'!K12+'数据-取费表'!S12)</f>
        <v>0</v>
      </c>
      <c r="F12" s="2576" t="s">
        <v>2525</v>
      </c>
    </row>
    <row r="13" spans="1:6" ht="15" thickBot="1">
      <c r="A13" s="2577">
        <f>'数据-取费表'!AN13</f>
        <v>0</v>
      </c>
      <c r="B13" s="2573" t="e">
        <f ca="1">IF(F13="是",'数据-取费表'!AO13,0)</f>
        <v>#REF!</v>
      </c>
      <c r="C13" s="2578" t="s">
        <v>2519</v>
      </c>
      <c r="D13" s="2579"/>
      <c r="E13" s="2575">
        <f>IF(OR(A13=0,F13="否"),0,'数据-取费表'!K13+'数据-取费表'!S13)</f>
        <v>0</v>
      </c>
      <c r="F13" s="2576"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68" t="s">
        <v>1076</v>
      </c>
      <c r="B1" s="3269"/>
      <c r="C1" s="3270"/>
      <c r="D1" s="3271">
        <f>SUM(I10,I15,I20,I21,I23)</f>
        <v>0</v>
      </c>
      <c r="E1" s="3271"/>
      <c r="F1" s="3271"/>
      <c r="G1" s="3271"/>
      <c r="H1" s="3271"/>
      <c r="I1" s="3272"/>
    </row>
    <row r="2" spans="1:9">
      <c r="A2" s="3273" t="s">
        <v>1077</v>
      </c>
      <c r="B2" s="3274" t="s">
        <v>1078</v>
      </c>
      <c r="C2" s="3274"/>
      <c r="D2" s="1299" t="s">
        <v>1079</v>
      </c>
      <c r="E2" s="1299" t="s">
        <v>1080</v>
      </c>
      <c r="F2" s="1299" t="s">
        <v>1081</v>
      </c>
      <c r="G2" s="1299" t="s">
        <v>1082</v>
      </c>
      <c r="H2" s="1299" t="s">
        <v>1083</v>
      </c>
      <c r="I2" s="1300" t="s">
        <v>1084</v>
      </c>
    </row>
    <row r="3" spans="1:9">
      <c r="A3" s="3273"/>
      <c r="B3" s="3274" t="s">
        <v>1085</v>
      </c>
      <c r="C3" s="3274"/>
      <c r="D3" s="1301"/>
      <c r="E3" s="1299"/>
      <c r="F3" s="1302"/>
      <c r="G3" s="1302"/>
      <c r="H3" s="1303"/>
      <c r="I3" s="1304">
        <f>ROUND(D3*E3*F3*G3*H3/10000,0)</f>
        <v>0</v>
      </c>
    </row>
    <row r="4" spans="1:9">
      <c r="A4" s="3273"/>
      <c r="B4" s="3274" t="s">
        <v>1086</v>
      </c>
      <c r="C4" s="3274"/>
      <c r="D4" s="1301"/>
      <c r="E4" s="1299"/>
      <c r="F4" s="1302"/>
      <c r="G4" s="1302"/>
      <c r="H4" s="1303"/>
      <c r="I4" s="1304">
        <f t="shared" ref="I4:I9" si="0">ROUND(D4*E4*F4*G4*H4/10000,0)</f>
        <v>0</v>
      </c>
    </row>
    <row r="5" spans="1:9">
      <c r="A5" s="3273"/>
      <c r="B5" s="3274" t="s">
        <v>1087</v>
      </c>
      <c r="C5" s="3274"/>
      <c r="D5" s="1301"/>
      <c r="E5" s="1299"/>
      <c r="F5" s="1302"/>
      <c r="G5" s="1302"/>
      <c r="H5" s="1303"/>
      <c r="I5" s="1304">
        <f t="shared" si="0"/>
        <v>0</v>
      </c>
    </row>
    <row r="6" spans="1:9">
      <c r="A6" s="3273"/>
      <c r="B6" s="3274" t="s">
        <v>1088</v>
      </c>
      <c r="C6" s="3274"/>
      <c r="D6" s="1301"/>
      <c r="E6" s="1299"/>
      <c r="F6" s="1302"/>
      <c r="G6" s="1302"/>
      <c r="H6" s="1303"/>
      <c r="I6" s="1304">
        <f t="shared" si="0"/>
        <v>0</v>
      </c>
    </row>
    <row r="7" spans="1:9">
      <c r="A7" s="3273"/>
      <c r="B7" s="3274" t="s">
        <v>1089</v>
      </c>
      <c r="C7" s="3274"/>
      <c r="D7" s="1301"/>
      <c r="E7" s="1299"/>
      <c r="F7" s="1302"/>
      <c r="G7" s="1302"/>
      <c r="H7" s="1303"/>
      <c r="I7" s="1304">
        <f t="shared" si="0"/>
        <v>0</v>
      </c>
    </row>
    <row r="8" spans="1:9">
      <c r="A8" s="3273"/>
      <c r="B8" s="3274" t="s">
        <v>1090</v>
      </c>
      <c r="C8" s="3274"/>
      <c r="D8" s="1301"/>
      <c r="E8" s="1299"/>
      <c r="F8" s="1302"/>
      <c r="G8" s="1302"/>
      <c r="H8" s="1303"/>
      <c r="I8" s="1304">
        <f t="shared" si="0"/>
        <v>0</v>
      </c>
    </row>
    <row r="9" spans="1:9">
      <c r="A9" s="3273"/>
      <c r="B9" s="3274" t="s">
        <v>1091</v>
      </c>
      <c r="C9" s="3274"/>
      <c r="D9" s="1301"/>
      <c r="E9" s="1299"/>
      <c r="F9" s="1302"/>
      <c r="G9" s="1302"/>
      <c r="H9" s="1303"/>
      <c r="I9" s="1304">
        <f t="shared" si="0"/>
        <v>0</v>
      </c>
    </row>
    <row r="10" spans="1:9">
      <c r="A10" s="3273"/>
      <c r="B10" s="3275" t="s">
        <v>1092</v>
      </c>
      <c r="C10" s="3275"/>
      <c r="D10" s="1305"/>
      <c r="E10" s="1305" t="e">
        <f>ROUND(D1*10000/D10/H9,0)</f>
        <v>#DIV/0!</v>
      </c>
      <c r="F10" s="1306"/>
      <c r="G10" s="1306"/>
      <c r="H10" s="1307"/>
      <c r="I10" s="1308">
        <f>SUM(I3:I9)</f>
        <v>0</v>
      </c>
    </row>
    <row r="11" spans="1:9" ht="14.25">
      <c r="A11" s="3273" t="s">
        <v>1093</v>
      </c>
      <c r="B11" s="3274" t="s">
        <v>1094</v>
      </c>
      <c r="C11" s="3274"/>
      <c r="D11" s="1301" t="s">
        <v>1095</v>
      </c>
      <c r="E11" s="1301" t="s">
        <v>1096</v>
      </c>
      <c r="F11" s="1302" t="s">
        <v>1097</v>
      </c>
      <c r="G11" s="1302" t="s">
        <v>1083</v>
      </c>
      <c r="H11" s="1309" t="s">
        <v>1098</v>
      </c>
      <c r="I11" s="1300" t="s">
        <v>1084</v>
      </c>
    </row>
    <row r="12" spans="1:9">
      <c r="A12" s="3273"/>
      <c r="B12" s="3274" t="s">
        <v>1099</v>
      </c>
      <c r="C12" s="3274"/>
      <c r="D12" s="1301"/>
      <c r="E12" s="1301"/>
      <c r="F12" s="1302"/>
      <c r="G12" s="1303"/>
      <c r="H12" s="1310"/>
      <c r="I12" s="1300">
        <f>ROUND(D12*E12*F12*G12/10000,0)</f>
        <v>0</v>
      </c>
    </row>
    <row r="13" spans="1:9">
      <c r="A13" s="3273"/>
      <c r="B13" s="3274" t="s">
        <v>1100</v>
      </c>
      <c r="C13" s="3274"/>
      <c r="D13" s="1301"/>
      <c r="E13" s="1301"/>
      <c r="F13" s="1302"/>
      <c r="G13" s="1303"/>
      <c r="H13" s="1310"/>
      <c r="I13" s="1300">
        <f>ROUND(D13*E13*F13*G13/10000,0)</f>
        <v>0</v>
      </c>
    </row>
    <row r="14" spans="1:9">
      <c r="A14" s="3273"/>
      <c r="B14" s="3274" t="s">
        <v>1101</v>
      </c>
      <c r="C14" s="3274"/>
      <c r="D14" s="1301"/>
      <c r="E14" s="1301"/>
      <c r="F14" s="1302"/>
      <c r="G14" s="1303"/>
      <c r="H14" s="1310"/>
      <c r="I14" s="1300">
        <f>ROUND(D14*E14*F14*G14/10000,0)</f>
        <v>0</v>
      </c>
    </row>
    <row r="15" spans="1:9">
      <c r="A15" s="3273"/>
      <c r="B15" s="3275" t="s">
        <v>1092</v>
      </c>
      <c r="C15" s="3275"/>
      <c r="D15" s="1305"/>
      <c r="E15" s="1305">
        <f>SUM(E12:E14)</f>
        <v>0</v>
      </c>
      <c r="F15" s="1306"/>
      <c r="G15" s="1303"/>
      <c r="H15" s="1310"/>
      <c r="I15" s="1311">
        <f>SUM(I12:I14)</f>
        <v>0</v>
      </c>
    </row>
    <row r="16" spans="1:9" ht="24">
      <c r="A16" s="3273" t="s">
        <v>1102</v>
      </c>
      <c r="B16" s="3274" t="s">
        <v>1103</v>
      </c>
      <c r="C16" s="3274"/>
      <c r="D16" s="1301" t="s">
        <v>1079</v>
      </c>
      <c r="E16" s="1312" t="s">
        <v>1104</v>
      </c>
      <c r="F16" s="1302" t="s">
        <v>1105</v>
      </c>
      <c r="G16" s="1303" t="s">
        <v>1083</v>
      </c>
      <c r="H16" s="1309" t="s">
        <v>1098</v>
      </c>
      <c r="I16" s="1300" t="s">
        <v>1084</v>
      </c>
    </row>
    <row r="17" spans="1:9" ht="14.25">
      <c r="A17" s="3273"/>
      <c r="B17" s="3274" t="s">
        <v>1106</v>
      </c>
      <c r="C17" s="3274"/>
      <c r="D17" s="1301"/>
      <c r="E17" s="1301"/>
      <c r="F17" s="1302"/>
      <c r="G17" s="1303"/>
      <c r="H17" s="1313"/>
      <c r="I17" s="1314">
        <f>ROUND(D17*E17*F17*G17/10000,0)</f>
        <v>0</v>
      </c>
    </row>
    <row r="18" spans="1:9" ht="14.25">
      <c r="A18" s="3273"/>
      <c r="B18" s="3274" t="s">
        <v>1107</v>
      </c>
      <c r="C18" s="3274"/>
      <c r="D18" s="1301"/>
      <c r="E18" s="1301"/>
      <c r="F18" s="1302"/>
      <c r="G18" s="1303"/>
      <c r="H18" s="1313"/>
      <c r="I18" s="1314">
        <f>ROUND(D18*E18*F18*G18/10000,0)</f>
        <v>0</v>
      </c>
    </row>
    <row r="19" spans="1:9" ht="14.25">
      <c r="A19" s="3273"/>
      <c r="B19" s="3274" t="s">
        <v>1108</v>
      </c>
      <c r="C19" s="3274"/>
      <c r="D19" s="1301"/>
      <c r="E19" s="1301"/>
      <c r="F19" s="1302"/>
      <c r="G19" s="1303"/>
      <c r="H19" s="1313"/>
      <c r="I19" s="1314">
        <f>ROUND(D19*E19*F19*G19/10000,0)</f>
        <v>0</v>
      </c>
    </row>
    <row r="20" spans="1:9">
      <c r="A20" s="3273"/>
      <c r="B20" s="3275" t="s">
        <v>1092</v>
      </c>
      <c r="C20" s="3275"/>
      <c r="D20" s="1305">
        <f>SUM(D17:D19)</f>
        <v>0</v>
      </c>
      <c r="E20" s="1305"/>
      <c r="F20" s="1306"/>
      <c r="G20" s="1303"/>
      <c r="H20" s="1310"/>
      <c r="I20" s="1311">
        <f>SUM(I17:I19)</f>
        <v>0</v>
      </c>
    </row>
    <row r="21" spans="1:9">
      <c r="A21" s="3273" t="s">
        <v>1109</v>
      </c>
      <c r="B21" s="3277"/>
      <c r="C21" s="3277"/>
      <c r="D21" s="3277"/>
      <c r="E21" s="3277"/>
      <c r="F21" s="3277"/>
      <c r="G21" s="3277"/>
      <c r="H21" s="1763">
        <v>0.1</v>
      </c>
      <c r="I21" s="1308">
        <f>ROUND(I10*H21,0)</f>
        <v>0</v>
      </c>
    </row>
    <row r="22" spans="1:9" ht="14.25">
      <c r="A22" s="3278" t="s">
        <v>1110</v>
      </c>
      <c r="B22" s="3279"/>
      <c r="C22" s="3280"/>
      <c r="D22" s="1315" t="s">
        <v>1111</v>
      </c>
      <c r="E22" s="1315" t="s">
        <v>1112</v>
      </c>
      <c r="F22" s="1316" t="s">
        <v>1113</v>
      </c>
      <c r="G22" s="1316" t="s">
        <v>1114</v>
      </c>
      <c r="H22" s="1309" t="s">
        <v>1115</v>
      </c>
      <c r="I22" s="1300" t="s">
        <v>1116</v>
      </c>
    </row>
    <row r="23" spans="1:9" ht="14.25" thickBot="1">
      <c r="A23" s="3281"/>
      <c r="B23" s="3282"/>
      <c r="C23" s="3283"/>
      <c r="D23" s="1317"/>
      <c r="E23" s="1317"/>
      <c r="F23" s="1317"/>
      <c r="G23" s="1318"/>
      <c r="H23" s="1319"/>
      <c r="I23" s="1320">
        <f>ROUND(E23*D23*F23*(1-G23)/10000,0)</f>
        <v>0</v>
      </c>
    </row>
    <row r="26" spans="1:9">
      <c r="A26" s="1321" t="s">
        <v>1117</v>
      </c>
      <c r="B26" s="1321"/>
      <c r="C26" s="1321"/>
      <c r="D26" s="1321"/>
      <c r="E26" s="3284">
        <f>C27-C30-C31-C32</f>
        <v>0</v>
      </c>
      <c r="F26" s="3284"/>
      <c r="G26" s="3284"/>
      <c r="H26" s="1735" t="s">
        <v>1340</v>
      </c>
    </row>
    <row r="27" spans="1:9">
      <c r="A27" s="1322">
        <v>1</v>
      </c>
      <c r="B27" s="1323" t="s">
        <v>1118</v>
      </c>
      <c r="C27" s="1323">
        <f>C28+C29</f>
        <v>0</v>
      </c>
      <c r="D27" s="1323"/>
      <c r="E27" s="3285"/>
      <c r="F27" s="3285"/>
      <c r="G27" s="3285"/>
    </row>
    <row r="28" spans="1:9">
      <c r="A28" s="1324" t="s">
        <v>1119</v>
      </c>
      <c r="B28" s="1323" t="s">
        <v>1120</v>
      </c>
      <c r="C28" s="1323"/>
      <c r="D28" s="1323"/>
      <c r="E28" s="3285"/>
      <c r="F28" s="3285"/>
      <c r="G28" s="3285"/>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76"/>
      <c r="F32" s="3276"/>
      <c r="G32" s="3276"/>
    </row>
    <row r="33" spans="1:7" hidden="1">
      <c r="A33" s="3286" t="s">
        <v>1129</v>
      </c>
      <c r="B33" s="3287"/>
      <c r="C33" s="3287"/>
      <c r="D33" s="3288"/>
      <c r="E33" s="3284"/>
      <c r="F33" s="3284"/>
      <c r="G33" s="3284"/>
    </row>
    <row r="34" spans="1:7" hidden="1">
      <c r="A34" s="1326">
        <v>1</v>
      </c>
      <c r="B34" s="1323" t="s">
        <v>1130</v>
      </c>
      <c r="C34" s="1323"/>
      <c r="D34" s="1323"/>
      <c r="E34" s="3285"/>
      <c r="F34" s="3285"/>
      <c r="G34" s="3285"/>
    </row>
    <row r="35" spans="1:7" hidden="1">
      <c r="A35" s="1326">
        <v>2</v>
      </c>
      <c r="B35" s="1323" t="s">
        <v>1131</v>
      </c>
      <c r="C35" s="1323"/>
      <c r="D35" s="1323"/>
      <c r="E35" s="3285"/>
      <c r="F35" s="3285"/>
      <c r="G35" s="3285"/>
    </row>
    <row r="36" spans="1:7" hidden="1">
      <c r="A36" s="1326">
        <v>3</v>
      </c>
      <c r="B36" s="1323" t="s">
        <v>1132</v>
      </c>
      <c r="C36" s="1323"/>
      <c r="D36" s="1323"/>
      <c r="E36" s="3285"/>
      <c r="F36" s="3285"/>
      <c r="G36" s="3285"/>
    </row>
    <row r="37" spans="1:7" hidden="1">
      <c r="A37" s="1326">
        <v>4</v>
      </c>
      <c r="B37" s="1323" t="s">
        <v>1133</v>
      </c>
      <c r="C37" s="1323"/>
      <c r="D37" s="1323"/>
      <c r="E37" s="3285"/>
      <c r="F37" s="3285"/>
      <c r="G37" s="3285"/>
    </row>
    <row r="38" spans="1:7" hidden="1">
      <c r="A38" s="3286" t="s">
        <v>1134</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重庆核盛房地产开发有限公司：</v>
      </c>
    </row>
    <row r="4" spans="1:1" ht="36">
      <c r="A4" s="1946" t="str">
        <f>"受贵公司委托，我公司对"&amp;项目基本情况!S1&amp;"进行了预评估。"</f>
        <v>受贵公司委托，我公司对重庆市南岸区弹子石D4-1-1/04、D4-1-2/04地块出让国有建设用地使用权及在建建筑物房地产抵押价值进行了预评估。</v>
      </c>
    </row>
    <row r="5" spans="1:1" ht="18.75">
      <c r="A5" s="1947" t="s">
        <v>1613</v>
      </c>
    </row>
    <row r="6" spans="1:1" ht="18.75">
      <c r="A6" s="1948" t="s">
        <v>1614</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弹子石D4-1-1/04、D4-1-2/04地块出让国有建设用地使用权及在建建筑物房地产，为重庆核盛房地产开发有限公司所有。根据，估价对象（分摊）出让国有建设用地使用权面积为900.43平方米，建筑面积为3217.21平方米。</v>
      </c>
    </row>
    <row r="8" spans="1:1" ht="57.75">
      <c r="A8" s="1949" t="s">
        <v>1615</v>
      </c>
    </row>
    <row r="9" spans="1:1" ht="18.75">
      <c r="A9" s="1948" t="s">
        <v>1616</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弹子石D4-1-1/04、D4-1-2/04地块出让国有建设用地使用权及在建建筑物房地产,属重庆核盛房地产开发有限公司开发建设的，该项目尚在开发建设中。根据，估价对象（分摊）出让国有建设用地使用权面积为900.43平方米，规划建筑面积为3217.21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2018年3月26日（评估专业人员实地查勘之日）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80" t="s">
        <v>2642</v>
      </c>
      <c r="C1" s="1632" t="s">
        <v>2530</v>
      </c>
      <c r="D1" s="1619"/>
      <c r="E1" s="2653"/>
      <c r="F1" s="2582"/>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2330</v>
      </c>
      <c r="B2" s="1416" t="e">
        <f ca="1">IF(C2="——",ROUND(C49*D3/10000,0),ROUND(C49*D3/10000,0)-D2)</f>
        <v>#DIV/0!</v>
      </c>
      <c r="C2" s="2584"/>
      <c r="D2" s="1363" t="e">
        <f ca="1">SUMIF(INDIRECT("'"&amp;F2&amp;"'"&amp;"!A:A"),"承租人权益价值",INDIRECT("'"&amp;F2&amp;"'"&amp;"!c:c"))</f>
        <v>#REF!</v>
      </c>
      <c r="E2" s="2585" t="s">
        <v>2331</v>
      </c>
      <c r="F2" s="2586"/>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2332</v>
      </c>
      <c r="B3" s="607" t="e">
        <f ca="1">IF(C2="——",C49,ROUND(B2*10000/D3,0))</f>
        <v>#DIV/0!</v>
      </c>
      <c r="C3" s="399" t="s">
        <v>2644</v>
      </c>
      <c r="D3" s="398">
        <f>IF(D1="",'数据-汇总表'!E3,SUMIF('数据-汇总表'!$C19:$C33,D1,'数据-汇总表'!$E19:$E33))</f>
        <v>3217.2100000000009</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35" t="s">
        <v>2648</v>
      </c>
      <c r="AC4" s="3205" t="s">
        <v>2649</v>
      </c>
    </row>
    <row r="5" spans="1:29" ht="15">
      <c r="A5" s="403"/>
      <c r="B5" s="404"/>
      <c r="C5" s="3216" t="s">
        <v>2542</v>
      </c>
      <c r="D5" s="3217"/>
      <c r="E5" s="3214" t="s">
        <v>2543</v>
      </c>
      <c r="F5" s="3215"/>
      <c r="G5" s="3216" t="s">
        <v>2544</v>
      </c>
      <c r="H5" s="3217"/>
      <c r="I5" s="3216" t="s">
        <v>2545</v>
      </c>
      <c r="J5" s="3217"/>
      <c r="K5" s="608"/>
      <c r="L5" s="1128"/>
      <c r="M5" s="1129"/>
      <c r="N5" s="1129"/>
      <c r="O5" s="1129"/>
      <c r="P5" s="3229"/>
      <c r="Q5" s="3230"/>
      <c r="R5" s="3212"/>
      <c r="S5" s="3213"/>
      <c r="T5" s="3212"/>
      <c r="U5" s="3213"/>
      <c r="V5" s="3235"/>
      <c r="W5" s="3235"/>
      <c r="X5" s="1811"/>
      <c r="Y5" s="3212"/>
      <c r="Z5" s="3213"/>
      <c r="AA5" s="3206"/>
      <c r="AB5" s="3235"/>
      <c r="AC5" s="3206"/>
    </row>
    <row r="6" spans="1:29" ht="15.75" thickBot="1">
      <c r="A6" s="405"/>
      <c r="B6" s="406"/>
      <c r="C6" s="3218" t="s">
        <v>2546</v>
      </c>
      <c r="D6" s="3219"/>
      <c r="E6" s="3220" t="s">
        <v>2546</v>
      </c>
      <c r="F6" s="3221"/>
      <c r="G6" s="3218" t="s">
        <v>2546</v>
      </c>
      <c r="H6" s="3219"/>
      <c r="I6" s="3218" t="s">
        <v>2546</v>
      </c>
      <c r="J6" s="3219"/>
      <c r="K6" s="608" t="s">
        <v>2547</v>
      </c>
      <c r="L6" s="1128"/>
      <c r="M6" s="1129"/>
      <c r="N6" s="1129"/>
      <c r="O6" s="1129"/>
      <c r="P6" s="3231"/>
      <c r="Q6" s="3232"/>
      <c r="R6" s="3212"/>
      <c r="S6" s="3213"/>
      <c r="T6" s="3233"/>
      <c r="U6" s="3234"/>
      <c r="V6" s="3235"/>
      <c r="W6" s="3235"/>
      <c r="X6" s="1811"/>
      <c r="Y6" s="3233"/>
      <c r="Z6" s="3234"/>
      <c r="AA6" s="3207"/>
      <c r="AB6" s="3235"/>
      <c r="AC6" s="3207"/>
    </row>
    <row r="7" spans="1:29" s="116" customFormat="1" ht="15.75" thickBot="1">
      <c r="A7" s="407" t="s">
        <v>2548</v>
      </c>
      <c r="B7" s="408"/>
      <c r="C7" s="409">
        <f>'数据-取费表'!B2</f>
        <v>43185</v>
      </c>
      <c r="D7" s="410">
        <v>100</v>
      </c>
      <c r="E7" s="411"/>
      <c r="F7" s="412">
        <f>SUMIF(58:58,YEAR(E7)&amp;"-"&amp;MONTH(E7),59:59)</f>
        <v>0</v>
      </c>
      <c r="G7" s="411"/>
      <c r="H7" s="410">
        <f>SUMIF(58:58,YEAR(G7)&amp;"-"&amp;MONTH(G7),59:59)</f>
        <v>0</v>
      </c>
      <c r="I7" s="411"/>
      <c r="J7" s="410">
        <f>SUMIF(58:58,YEAR(I7)&amp;"-"&amp;MONTH(I7),59:59)</f>
        <v>0</v>
      </c>
      <c r="K7" s="609"/>
      <c r="L7" s="1130"/>
      <c r="M7" s="1131"/>
      <c r="N7" s="1131"/>
      <c r="O7" s="1131"/>
      <c r="P7" s="3208" t="s">
        <v>2549</v>
      </c>
      <c r="Q7" s="3236"/>
      <c r="R7" s="768" t="s">
        <v>17</v>
      </c>
      <c r="S7" s="769">
        <f t="shared" ref="S7:S15" si="0">F7</f>
        <v>0</v>
      </c>
      <c r="T7" s="768" t="s">
        <v>17</v>
      </c>
      <c r="U7" s="769">
        <f t="shared" ref="U7:U15" si="1">H7</f>
        <v>0</v>
      </c>
      <c r="V7" s="768" t="s">
        <v>17</v>
      </c>
      <c r="W7" s="769">
        <f t="shared" ref="W7:W15" si="2">J7</f>
        <v>0</v>
      </c>
      <c r="X7" s="770"/>
      <c r="Y7" s="3208" t="s">
        <v>2549</v>
      </c>
      <c r="Z7" s="3209"/>
      <c r="AA7" s="771" t="e">
        <f>D7/F7</f>
        <v>#DIV/0!</v>
      </c>
      <c r="AB7" s="771" t="e">
        <f>D7/H7</f>
        <v>#DIV/0!</v>
      </c>
      <c r="AC7" s="771"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09"/>
      <c r="L8" s="1130"/>
      <c r="M8" s="1131"/>
      <c r="N8" s="1131"/>
      <c r="O8" s="1131"/>
      <c r="P8" s="3208" t="s">
        <v>2552</v>
      </c>
      <c r="Q8" s="3209"/>
      <c r="R8" s="768" t="s">
        <v>17</v>
      </c>
      <c r="S8" s="769">
        <f t="shared" si="0"/>
        <v>0</v>
      </c>
      <c r="T8" s="768" t="s">
        <v>17</v>
      </c>
      <c r="U8" s="769">
        <f t="shared" si="1"/>
        <v>0</v>
      </c>
      <c r="V8" s="768" t="s">
        <v>17</v>
      </c>
      <c r="W8" s="769">
        <f t="shared" si="2"/>
        <v>0</v>
      </c>
      <c r="X8" s="770"/>
      <c r="Y8" s="3208" t="s">
        <v>2552</v>
      </c>
      <c r="Z8" s="3209"/>
      <c r="AA8" s="771" t="e">
        <f t="shared" ref="AA8:AA46" si="3">D8/F8</f>
        <v>#DIV/0!</v>
      </c>
      <c r="AB8" s="771" t="e">
        <f t="shared" ref="AB8:AB46" si="4">D8/H8</f>
        <v>#DIV/0!</v>
      </c>
      <c r="AC8" s="771"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09"/>
      <c r="L9" s="1130"/>
      <c r="M9" s="1131"/>
      <c r="N9" s="1131"/>
      <c r="O9" s="1131"/>
      <c r="P9" s="3246"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771">
        <f t="shared" si="5"/>
        <v>1</v>
      </c>
    </row>
    <row r="10" spans="1:29" s="425" customFormat="1" ht="27">
      <c r="A10" s="419"/>
      <c r="B10" s="420" t="s">
        <v>2557</v>
      </c>
      <c r="C10" s="421"/>
      <c r="D10" s="135">
        <v>100</v>
      </c>
      <c r="E10" s="422"/>
      <c r="F10" s="423">
        <f>SUMIF(65:65,E10,66:66)-SUMIF(65:65,C10,66:66)+100</f>
        <v>100</v>
      </c>
      <c r="G10" s="421"/>
      <c r="H10" s="135">
        <f>SUMIF(65:65,G10,66:66)-SUMIF(65:65,C10,66:66)+100</f>
        <v>100</v>
      </c>
      <c r="I10" s="421"/>
      <c r="J10" s="135">
        <f>SUMIF(65:65,I10,66:66)-SUMIF(65:65,C10,66:66)+100</f>
        <v>100</v>
      </c>
      <c r="K10" s="610"/>
      <c r="L10" s="1133"/>
      <c r="M10" s="1134"/>
      <c r="N10" s="1134"/>
      <c r="O10" s="1134"/>
      <c r="P10" s="3246"/>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771">
        <f t="shared" si="5"/>
        <v>1</v>
      </c>
    </row>
    <row r="11" spans="1:29" ht="15">
      <c r="A11" s="426"/>
      <c r="B11" s="420" t="s">
        <v>2558</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6"/>
      <c r="M11" s="1129"/>
      <c r="N11" s="1129"/>
      <c r="O11" s="1129"/>
      <c r="P11" s="3246"/>
      <c r="Q11" s="1793" t="str">
        <f t="shared" si="6"/>
        <v>容积率</v>
      </c>
      <c r="R11" s="768" t="s">
        <v>17</v>
      </c>
      <c r="S11" s="769" t="e">
        <f t="shared" si="0"/>
        <v>#N/A</v>
      </c>
      <c r="T11" s="768" t="s">
        <v>17</v>
      </c>
      <c r="U11" s="769" t="e">
        <f t="shared" si="1"/>
        <v>#N/A</v>
      </c>
      <c r="V11" s="768" t="s">
        <v>17</v>
      </c>
      <c r="W11" s="769" t="e">
        <f t="shared" si="2"/>
        <v>#N/A</v>
      </c>
      <c r="X11" s="770"/>
      <c r="Y11" s="3077"/>
      <c r="Z11" s="54" t="str">
        <f t="shared" si="7"/>
        <v>容积率</v>
      </c>
      <c r="AA11" s="771" t="e">
        <f t="shared" si="3"/>
        <v>#N/A</v>
      </c>
      <c r="AB11" s="771" t="e">
        <f t="shared" si="4"/>
        <v>#N/A</v>
      </c>
      <c r="AC11" s="771" t="e">
        <f t="shared" si="5"/>
        <v>#N/A</v>
      </c>
    </row>
    <row r="12" spans="1:29" s="116" customFormat="1" ht="15">
      <c r="A12" s="429"/>
      <c r="B12" s="2597">
        <v>111</v>
      </c>
      <c r="C12" s="430"/>
      <c r="D12" s="431">
        <v>100</v>
      </c>
      <c r="E12" s="432"/>
      <c r="F12" s="423">
        <f>SUMIF(70:70,E12,71:71)-SUMIF(70:70,C12,71:71)+100</f>
        <v>100</v>
      </c>
      <c r="G12" s="432"/>
      <c r="H12" s="135">
        <f>SUMIF(70:70,G12,71:71)-SUMIF(70:70,C12,71:71)+100</f>
        <v>100</v>
      </c>
      <c r="I12" s="432"/>
      <c r="J12" s="135">
        <f>SUMIF(70:70,I12,71:71)-SUMIF(70:70,C12,71:71)+100</f>
        <v>100</v>
      </c>
      <c r="K12" s="611"/>
      <c r="L12" s="1130"/>
      <c r="M12" s="1131"/>
      <c r="N12" s="1131"/>
      <c r="O12" s="1131"/>
      <c r="P12" s="3246"/>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771">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46"/>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771">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46"/>
      <c r="Q14" s="1793">
        <f t="shared" si="6"/>
        <v>111</v>
      </c>
      <c r="R14" s="768" t="s">
        <v>17</v>
      </c>
      <c r="S14" s="769">
        <f t="shared" si="0"/>
        <v>100</v>
      </c>
      <c r="T14" s="768" t="s">
        <v>17</v>
      </c>
      <c r="U14" s="769">
        <f t="shared" si="1"/>
        <v>100</v>
      </c>
      <c r="V14" s="768" t="s">
        <v>17</v>
      </c>
      <c r="W14" s="769">
        <f t="shared" si="2"/>
        <v>100</v>
      </c>
      <c r="X14" s="770"/>
      <c r="Y14" s="3077"/>
      <c r="Z14" s="54">
        <f t="shared" si="7"/>
        <v>111</v>
      </c>
      <c r="AA14" s="771">
        <f t="shared" si="3"/>
        <v>1</v>
      </c>
      <c r="AB14" s="771">
        <f t="shared" si="4"/>
        <v>1</v>
      </c>
      <c r="AC14" s="771">
        <f t="shared" si="5"/>
        <v>1</v>
      </c>
    </row>
    <row r="15" spans="1:29" ht="71.25">
      <c r="A15" s="438" t="s">
        <v>2559</v>
      </c>
      <c r="B15" s="68" t="s">
        <v>2653</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60" t="s">
        <v>2560</v>
      </c>
      <c r="Q15" s="1808" t="str">
        <f t="shared" si="6"/>
        <v>商业繁华度</v>
      </c>
      <c r="R15" s="772" t="s">
        <v>17</v>
      </c>
      <c r="S15" s="773">
        <f t="shared" si="0"/>
        <v>100</v>
      </c>
      <c r="T15" s="772" t="s">
        <v>17</v>
      </c>
      <c r="U15" s="773">
        <f t="shared" si="1"/>
        <v>100</v>
      </c>
      <c r="V15" s="772" t="s">
        <v>17</v>
      </c>
      <c r="W15" s="773">
        <f t="shared" si="2"/>
        <v>100</v>
      </c>
      <c r="X15" s="1811"/>
      <c r="Y15" s="3237" t="s">
        <v>2560</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61"/>
      <c r="Q16" s="1808"/>
      <c r="R16" s="772"/>
      <c r="S16" s="773"/>
      <c r="T16" s="772"/>
      <c r="U16" s="773"/>
      <c r="V16" s="772"/>
      <c r="W16" s="773"/>
      <c r="X16" s="1811"/>
      <c r="Y16" s="3238"/>
      <c r="Z16" s="1812"/>
      <c r="AA16" s="1809">
        <v>1</v>
      </c>
      <c r="AB16" s="1809">
        <v>1</v>
      </c>
      <c r="AC16" s="1809">
        <v>1</v>
      </c>
    </row>
    <row r="17" spans="1:29" ht="85.5">
      <c r="A17" s="426"/>
      <c r="B17" s="449" t="s">
        <v>2098</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61"/>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29"/>
      <c r="P18" s="3261"/>
      <c r="Q18" s="1808"/>
      <c r="R18" s="772"/>
      <c r="S18" s="773"/>
      <c r="T18" s="772"/>
      <c r="U18" s="773"/>
      <c r="V18" s="772"/>
      <c r="W18" s="773"/>
      <c r="X18" s="1811"/>
      <c r="Y18" s="3238"/>
      <c r="Z18" s="1812"/>
      <c r="AA18" s="1809">
        <v>1</v>
      </c>
      <c r="AB18" s="1809">
        <v>1</v>
      </c>
      <c r="AC18" s="1809">
        <v>1</v>
      </c>
    </row>
    <row r="19" spans="1:29" ht="42.75">
      <c r="A19" s="426"/>
      <c r="B19" s="449" t="s">
        <v>2654</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61"/>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29"/>
      <c r="P20" s="3261"/>
      <c r="Q20" s="1808"/>
      <c r="R20" s="772"/>
      <c r="S20" s="773"/>
      <c r="T20" s="772"/>
      <c r="U20" s="773"/>
      <c r="V20" s="772"/>
      <c r="W20" s="773"/>
      <c r="X20" s="1811"/>
      <c r="Y20" s="3238"/>
      <c r="Z20" s="1812"/>
      <c r="AA20" s="1809">
        <v>1</v>
      </c>
      <c r="AB20" s="1809">
        <v>1</v>
      </c>
      <c r="AC20" s="1809">
        <v>1</v>
      </c>
    </row>
    <row r="21" spans="1:29" ht="28.5">
      <c r="A21" s="426"/>
      <c r="B21" s="1382" t="s">
        <v>2655</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61"/>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29"/>
      <c r="P22" s="3261"/>
      <c r="Q22" s="1808"/>
      <c r="R22" s="772"/>
      <c r="S22" s="773"/>
      <c r="T22" s="772"/>
      <c r="U22" s="773"/>
      <c r="V22" s="772"/>
      <c r="W22" s="773"/>
      <c r="X22" s="1811"/>
      <c r="Y22" s="3238"/>
      <c r="Z22" s="1812"/>
      <c r="AA22" s="1809">
        <v>1</v>
      </c>
      <c r="AB22" s="1809">
        <v>1</v>
      </c>
      <c r="AC22" s="1809">
        <v>1</v>
      </c>
    </row>
    <row r="23" spans="1:29" ht="57">
      <c r="A23" s="426"/>
      <c r="B23" s="449" t="s">
        <v>2103</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61"/>
      <c r="Q23" s="1808" t="str">
        <f>B23</f>
        <v>自然及人文环境</v>
      </c>
      <c r="R23" s="772" t="s">
        <v>17</v>
      </c>
      <c r="S23" s="773">
        <f>F23</f>
        <v>100</v>
      </c>
      <c r="T23" s="772" t="s">
        <v>17</v>
      </c>
      <c r="U23" s="773">
        <f>H23</f>
        <v>100</v>
      </c>
      <c r="V23" s="772" t="s">
        <v>17</v>
      </c>
      <c r="W23" s="773">
        <f>J23</f>
        <v>100</v>
      </c>
      <c r="X23" s="1811"/>
      <c r="Y23" s="3238"/>
      <c r="Z23" s="1812" t="str">
        <f>Q23</f>
        <v>自然及人文环境</v>
      </c>
      <c r="AA23" s="1809">
        <f t="shared" si="3"/>
        <v>1</v>
      </c>
      <c r="AB23" s="1809">
        <f t="shared" si="4"/>
        <v>1</v>
      </c>
      <c r="AC23" s="1809">
        <f t="shared" si="5"/>
        <v>1</v>
      </c>
    </row>
    <row r="24" spans="1:29" ht="15">
      <c r="A24" s="426"/>
      <c r="B24" s="454"/>
      <c r="C24" s="445"/>
      <c r="D24" s="446"/>
      <c r="E24" s="2602"/>
      <c r="F24" s="447"/>
      <c r="G24" s="2601"/>
      <c r="H24" s="446"/>
      <c r="I24" s="2602"/>
      <c r="J24" s="446"/>
      <c r="K24" s="613"/>
      <c r="L24" s="1138"/>
      <c r="M24" s="1129"/>
      <c r="N24" s="1129"/>
      <c r="O24" s="1129"/>
      <c r="P24" s="3261"/>
      <c r="Q24" s="1808"/>
      <c r="R24" s="772"/>
      <c r="S24" s="773"/>
      <c r="T24" s="772"/>
      <c r="U24" s="773"/>
      <c r="V24" s="772"/>
      <c r="W24" s="773"/>
      <c r="X24" s="1811"/>
      <c r="Y24" s="3238"/>
      <c r="Z24" s="1812"/>
      <c r="AA24" s="1809">
        <v>1</v>
      </c>
      <c r="AB24" s="1809">
        <v>1</v>
      </c>
      <c r="AC24" s="1809">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61"/>
      <c r="Q25" s="1808" t="str">
        <f t="shared" ref="Q25:Q46" si="11">B25</f>
        <v>临街状况</v>
      </c>
      <c r="R25" s="772" t="s">
        <v>17</v>
      </c>
      <c r="S25" s="773">
        <f>F25</f>
        <v>100</v>
      </c>
      <c r="T25" s="772" t="s">
        <v>17</v>
      </c>
      <c r="U25" s="773">
        <f>H25</f>
        <v>100</v>
      </c>
      <c r="V25" s="772" t="s">
        <v>17</v>
      </c>
      <c r="W25" s="773">
        <f>J25</f>
        <v>100</v>
      </c>
      <c r="X25" s="1811"/>
      <c r="Y25" s="3238"/>
      <c r="Z25" s="1812" t="str">
        <f>Q25</f>
        <v>临街状况</v>
      </c>
      <c r="AA25" s="1809">
        <f t="shared" si="3"/>
        <v>1</v>
      </c>
      <c r="AB25" s="1809">
        <f t="shared" si="4"/>
        <v>1</v>
      </c>
      <c r="AC25" s="1809">
        <f t="shared" si="5"/>
        <v>1</v>
      </c>
    </row>
    <row r="26" spans="1:29" ht="15">
      <c r="A26" s="426"/>
      <c r="B26" s="1384" t="s">
        <v>2657</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61"/>
      <c r="Q26" s="1808" t="str">
        <f t="shared" si="11"/>
        <v>平面位置/可视性</v>
      </c>
      <c r="R26" s="772" t="s">
        <v>17</v>
      </c>
      <c r="S26" s="773">
        <f>F26</f>
        <v>100</v>
      </c>
      <c r="T26" s="772" t="s">
        <v>17</v>
      </c>
      <c r="U26" s="773">
        <f>H26</f>
        <v>100</v>
      </c>
      <c r="V26" s="772" t="s">
        <v>17</v>
      </c>
      <c r="W26" s="773">
        <f>J26</f>
        <v>100</v>
      </c>
      <c r="X26" s="1811"/>
      <c r="Y26" s="3238"/>
      <c r="Z26" s="1812" t="str">
        <f>Q26</f>
        <v>平面位置/可视性</v>
      </c>
      <c r="AA26" s="1809">
        <f t="shared" si="3"/>
        <v>1</v>
      </c>
      <c r="AB26" s="1809">
        <f t="shared" si="4"/>
        <v>1</v>
      </c>
      <c r="AC26" s="1809">
        <f t="shared" si="5"/>
        <v>1</v>
      </c>
    </row>
    <row r="27" spans="1:29" s="116" customFormat="1" ht="15">
      <c r="A27" s="429"/>
      <c r="B27" s="449" t="s">
        <v>2658</v>
      </c>
      <c r="C27" s="2661"/>
      <c r="D27" s="460">
        <v>100</v>
      </c>
      <c r="E27" s="2661"/>
      <c r="F27" s="462">
        <f>SUMIF(90:90,E27,91:91)-SUMIF(90:90,C27,91:91)+100</f>
        <v>100</v>
      </c>
      <c r="G27" s="2661"/>
      <c r="H27" s="460">
        <f>SUMIF(90:90,G27,91:91)-SUMIF(90:90,C27,91:91)+100</f>
        <v>100</v>
      </c>
      <c r="I27" s="2661"/>
      <c r="J27" s="460">
        <f>SUMIF(90:90,I27,91:91)-SUMIF(90:90,C27,91:91)+100</f>
        <v>100</v>
      </c>
      <c r="K27" s="610"/>
      <c r="L27" s="1130"/>
      <c r="M27" s="1131"/>
      <c r="N27" s="1131"/>
      <c r="O27" s="1131"/>
      <c r="P27" s="3261"/>
      <c r="Q27" s="1793" t="str">
        <f t="shared" si="11"/>
        <v>人流量</v>
      </c>
      <c r="R27" s="768" t="s">
        <v>17</v>
      </c>
      <c r="S27" s="769">
        <f>F27</f>
        <v>100</v>
      </c>
      <c r="T27" s="768" t="s">
        <v>17</v>
      </c>
      <c r="U27" s="769">
        <f>H27</f>
        <v>100</v>
      </c>
      <c r="V27" s="768" t="s">
        <v>17</v>
      </c>
      <c r="W27" s="769">
        <f>J27</f>
        <v>100</v>
      </c>
      <c r="X27" s="770"/>
      <c r="Y27" s="3238"/>
      <c r="Z27" s="54" t="str">
        <f>Q27</f>
        <v>人流量</v>
      </c>
      <c r="AA27" s="1809">
        <f>D27/F27</f>
        <v>1</v>
      </c>
      <c r="AB27" s="1809">
        <f>D27/H27</f>
        <v>1</v>
      </c>
      <c r="AC27" s="1809">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6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8"/>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61"/>
      <c r="Q29" s="1808">
        <f t="shared" si="11"/>
        <v>111</v>
      </c>
      <c r="R29" s="772" t="s">
        <v>17</v>
      </c>
      <c r="S29" s="773">
        <f t="shared" si="12"/>
        <v>100</v>
      </c>
      <c r="T29" s="772" t="s">
        <v>17</v>
      </c>
      <c r="U29" s="773">
        <f t="shared" si="13"/>
        <v>100</v>
      </c>
      <c r="V29" s="772" t="s">
        <v>17</v>
      </c>
      <c r="W29" s="773">
        <f t="shared" si="14"/>
        <v>100</v>
      </c>
      <c r="X29" s="1811"/>
      <c r="Y29" s="3238"/>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61"/>
      <c r="Q30" s="1808">
        <f t="shared" si="11"/>
        <v>111</v>
      </c>
      <c r="R30" s="772" t="s">
        <v>17</v>
      </c>
      <c r="S30" s="773">
        <f t="shared" si="12"/>
        <v>100</v>
      </c>
      <c r="T30" s="772" t="s">
        <v>17</v>
      </c>
      <c r="U30" s="773">
        <f t="shared" si="13"/>
        <v>100</v>
      </c>
      <c r="V30" s="772" t="s">
        <v>17</v>
      </c>
      <c r="W30" s="773">
        <f t="shared" si="14"/>
        <v>100</v>
      </c>
      <c r="X30" s="1811"/>
      <c r="Y30" s="3238"/>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61"/>
      <c r="Q31" s="1808">
        <f t="shared" si="11"/>
        <v>111</v>
      </c>
      <c r="R31" s="772" t="s">
        <v>17</v>
      </c>
      <c r="S31" s="773">
        <f t="shared" si="12"/>
        <v>100</v>
      </c>
      <c r="T31" s="772" t="s">
        <v>17</v>
      </c>
      <c r="U31" s="773">
        <f t="shared" si="13"/>
        <v>100</v>
      </c>
      <c r="V31" s="772" t="s">
        <v>17</v>
      </c>
      <c r="W31" s="773">
        <f t="shared" si="14"/>
        <v>100</v>
      </c>
      <c r="X31" s="1811"/>
      <c r="Y31" s="3238"/>
      <c r="Z31" s="1812">
        <f t="shared" si="15"/>
        <v>111</v>
      </c>
      <c r="AA31" s="1809">
        <f t="shared" si="3"/>
        <v>1</v>
      </c>
      <c r="AB31" s="1809">
        <f t="shared" si="4"/>
        <v>1</v>
      </c>
      <c r="AC31" s="1809">
        <f t="shared" si="5"/>
        <v>1</v>
      </c>
    </row>
    <row r="32" spans="1:29" ht="15">
      <c r="A32" s="438" t="s">
        <v>2563</v>
      </c>
      <c r="B32" s="70" t="s">
        <v>2660</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8"/>
      <c r="M32" s="1129"/>
      <c r="N32" s="1129"/>
      <c r="O32" s="1129"/>
      <c r="P32" s="3256" t="s">
        <v>2565</v>
      </c>
      <c r="Q32" s="1808" t="str">
        <f t="shared" si="11"/>
        <v>商业类型</v>
      </c>
      <c r="R32" s="772" t="s">
        <v>17</v>
      </c>
      <c r="S32" s="773">
        <f t="shared" si="12"/>
        <v>100</v>
      </c>
      <c r="T32" s="772" t="s">
        <v>17</v>
      </c>
      <c r="U32" s="773">
        <f t="shared" si="13"/>
        <v>100</v>
      </c>
      <c r="V32" s="772" t="s">
        <v>17</v>
      </c>
      <c r="W32" s="773">
        <f t="shared" si="14"/>
        <v>100</v>
      </c>
      <c r="X32" s="1811"/>
      <c r="Y32" s="3240" t="s">
        <v>2565</v>
      </c>
      <c r="Z32" s="1812" t="str">
        <f t="shared" si="15"/>
        <v>商业类型</v>
      </c>
      <c r="AA32" s="1809">
        <f t="shared" si="3"/>
        <v>1</v>
      </c>
      <c r="AB32" s="1809">
        <f t="shared" si="4"/>
        <v>1</v>
      </c>
      <c r="AC32" s="1809">
        <f t="shared" si="5"/>
        <v>1</v>
      </c>
    </row>
    <row r="33" spans="1:29" s="469" customFormat="1" ht="15">
      <c r="A33" s="466"/>
      <c r="B33" s="420" t="s">
        <v>2566</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6"/>
      <c r="M33" s="1139"/>
      <c r="N33" s="1139"/>
      <c r="O33" s="1139"/>
      <c r="P33" s="3257"/>
      <c r="Q33" s="774" t="str">
        <f t="shared" si="11"/>
        <v>项目建筑规模</v>
      </c>
      <c r="R33" s="775" t="s">
        <v>17</v>
      </c>
      <c r="S33" s="776" t="e">
        <f t="shared" si="12"/>
        <v>#N/A</v>
      </c>
      <c r="T33" s="775" t="s">
        <v>17</v>
      </c>
      <c r="U33" s="776" t="e">
        <f t="shared" si="13"/>
        <v>#N/A</v>
      </c>
      <c r="V33" s="775" t="s">
        <v>17</v>
      </c>
      <c r="W33" s="776" t="e">
        <f t="shared" si="14"/>
        <v>#N/A</v>
      </c>
      <c r="X33" s="777"/>
      <c r="Y33" s="3240"/>
      <c r="Z33" s="778" t="str">
        <f t="shared" si="15"/>
        <v>项目建筑规模</v>
      </c>
      <c r="AA33" s="1809" t="e">
        <f t="shared" si="3"/>
        <v>#N/A</v>
      </c>
      <c r="AB33" s="1809" t="e">
        <f t="shared" si="4"/>
        <v>#N/A</v>
      </c>
      <c r="AC33" s="1809" t="e">
        <f t="shared" si="5"/>
        <v>#N/A</v>
      </c>
    </row>
    <row r="34" spans="1:29" ht="15">
      <c r="A34" s="470"/>
      <c r="B34" s="420" t="s">
        <v>2567</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8"/>
      <c r="M34" s="1129"/>
      <c r="N34" s="1129"/>
      <c r="O34" s="1129"/>
      <c r="P34" s="3257"/>
      <c r="Q34" s="1808" t="str">
        <f t="shared" si="11"/>
        <v>建筑结构</v>
      </c>
      <c r="R34" s="772" t="s">
        <v>17</v>
      </c>
      <c r="S34" s="773">
        <f t="shared" si="12"/>
        <v>100</v>
      </c>
      <c r="T34" s="772" t="s">
        <v>17</v>
      </c>
      <c r="U34" s="773">
        <f t="shared" si="13"/>
        <v>100</v>
      </c>
      <c r="V34" s="772" t="s">
        <v>17</v>
      </c>
      <c r="W34" s="773">
        <f t="shared" si="14"/>
        <v>100</v>
      </c>
      <c r="X34" s="1811"/>
      <c r="Y34" s="3240"/>
      <c r="Z34" s="1812" t="str">
        <f t="shared" si="15"/>
        <v>建筑结构</v>
      </c>
      <c r="AA34" s="1809">
        <f t="shared" si="3"/>
        <v>1</v>
      </c>
      <c r="AB34" s="1809">
        <f t="shared" si="4"/>
        <v>1</v>
      </c>
      <c r="AC34" s="1809">
        <f t="shared" si="5"/>
        <v>1</v>
      </c>
    </row>
    <row r="35" spans="1:29" ht="15">
      <c r="A35" s="470"/>
      <c r="B35" s="420" t="s">
        <v>2661</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8"/>
      <c r="M35" s="1129"/>
      <c r="N35" s="1129"/>
      <c r="O35" s="1129"/>
      <c r="P35" s="3257"/>
      <c r="Q35" s="1808" t="str">
        <f t="shared" si="11"/>
        <v>公共部分装修</v>
      </c>
      <c r="R35" s="772" t="s">
        <v>17</v>
      </c>
      <c r="S35" s="773">
        <f t="shared" si="12"/>
        <v>100</v>
      </c>
      <c r="T35" s="772" t="s">
        <v>17</v>
      </c>
      <c r="U35" s="773">
        <f t="shared" si="13"/>
        <v>100</v>
      </c>
      <c r="V35" s="772" t="s">
        <v>17</v>
      </c>
      <c r="W35" s="773">
        <f t="shared" si="14"/>
        <v>100</v>
      </c>
      <c r="X35" s="1811"/>
      <c r="Y35" s="3240"/>
      <c r="Z35" s="1812" t="str">
        <f t="shared" si="15"/>
        <v>公共部分装修</v>
      </c>
      <c r="AA35" s="1809">
        <f t="shared" si="3"/>
        <v>1</v>
      </c>
      <c r="AB35" s="1809">
        <f t="shared" si="4"/>
        <v>1</v>
      </c>
      <c r="AC35" s="1809">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57"/>
      <c r="Q36" s="1808" t="str">
        <f t="shared" si="11"/>
        <v>成新度</v>
      </c>
      <c r="R36" s="772" t="s">
        <v>17</v>
      </c>
      <c r="S36" s="773" t="e">
        <f t="shared" si="12"/>
        <v>#N/A</v>
      </c>
      <c r="T36" s="772" t="s">
        <v>17</v>
      </c>
      <c r="U36" s="773" t="e">
        <f t="shared" si="13"/>
        <v>#N/A</v>
      </c>
      <c r="V36" s="772" t="s">
        <v>17</v>
      </c>
      <c r="W36" s="773" t="e">
        <f t="shared" si="14"/>
        <v>#N/A</v>
      </c>
      <c r="X36" s="1811"/>
      <c r="Y36" s="3240"/>
      <c r="Z36" s="1812" t="str">
        <f t="shared" si="15"/>
        <v>成新度</v>
      </c>
      <c r="AA36" s="1809" t="e">
        <f t="shared" si="3"/>
        <v>#N/A</v>
      </c>
      <c r="AB36" s="1809" t="e">
        <f t="shared" si="4"/>
        <v>#N/A</v>
      </c>
      <c r="AC36" s="1809" t="e">
        <f t="shared" si="5"/>
        <v>#N/A</v>
      </c>
    </row>
    <row r="37" spans="1:29" s="116" customFormat="1" ht="15">
      <c r="A37" s="471"/>
      <c r="B37" s="420" t="s">
        <v>2663</v>
      </c>
      <c r="C37" s="2610"/>
      <c r="D37" s="135">
        <v>100</v>
      </c>
      <c r="E37" s="2610"/>
      <c r="F37" s="459">
        <f>SUMIF(112:112,E37,113:113)-SUMIF(112:112,C37,113:113)+100</f>
        <v>100</v>
      </c>
      <c r="G37" s="2610"/>
      <c r="H37" s="433">
        <f>SUMIF(112:112,G37,113:113)-SUMIF(112:112,C37,113:113)+100</f>
        <v>100</v>
      </c>
      <c r="I37" s="2610"/>
      <c r="J37" s="433">
        <f>SUMIF(112:112,I37,113:113)-SUMIF(112:112,C37,113:113)+100</f>
        <v>100</v>
      </c>
      <c r="K37" s="610"/>
      <c r="L37" s="1130"/>
      <c r="M37" s="1131"/>
      <c r="N37" s="1131"/>
      <c r="O37" s="1131"/>
      <c r="P37" s="3257"/>
      <c r="Q37" s="1793" t="str">
        <f t="shared" si="11"/>
        <v>市政基础设施</v>
      </c>
      <c r="R37" s="768" t="s">
        <v>17</v>
      </c>
      <c r="S37" s="769">
        <f t="shared" si="12"/>
        <v>100</v>
      </c>
      <c r="T37" s="768" t="s">
        <v>17</v>
      </c>
      <c r="U37" s="769">
        <f t="shared" si="13"/>
        <v>100</v>
      </c>
      <c r="V37" s="768" t="s">
        <v>17</v>
      </c>
      <c r="W37" s="769">
        <f t="shared" si="14"/>
        <v>100</v>
      </c>
      <c r="X37" s="770"/>
      <c r="Y37" s="3240"/>
      <c r="Z37" s="54" t="str">
        <f t="shared" si="15"/>
        <v>市政基础设施</v>
      </c>
      <c r="AA37" s="771">
        <f t="shared" si="3"/>
        <v>1</v>
      </c>
      <c r="AB37" s="771">
        <f t="shared" si="4"/>
        <v>1</v>
      </c>
      <c r="AC37" s="771">
        <f t="shared" si="5"/>
        <v>1</v>
      </c>
    </row>
    <row r="38" spans="1:29" ht="15">
      <c r="A38" s="470"/>
      <c r="B38" s="420" t="s">
        <v>2664</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8"/>
      <c r="M38" s="1129"/>
      <c r="N38" s="1129"/>
      <c r="O38" s="1129"/>
      <c r="P38" s="3257" t="s">
        <v>2565</v>
      </c>
      <c r="Q38" s="1808" t="str">
        <f t="shared" si="11"/>
        <v>业态</v>
      </c>
      <c r="R38" s="772" t="s">
        <v>17</v>
      </c>
      <c r="S38" s="773">
        <f t="shared" si="12"/>
        <v>100</v>
      </c>
      <c r="T38" s="772" t="s">
        <v>17</v>
      </c>
      <c r="U38" s="773">
        <f t="shared" si="13"/>
        <v>100</v>
      </c>
      <c r="V38" s="772" t="s">
        <v>17</v>
      </c>
      <c r="W38" s="773">
        <f t="shared" si="14"/>
        <v>100</v>
      </c>
      <c r="X38" s="1811"/>
      <c r="Y38" s="3240" t="s">
        <v>2565</v>
      </c>
      <c r="Z38" s="1812" t="str">
        <f t="shared" si="15"/>
        <v>业态</v>
      </c>
      <c r="AA38" s="1809">
        <f t="shared" si="3"/>
        <v>1</v>
      </c>
      <c r="AB38" s="1809">
        <f t="shared" si="4"/>
        <v>1</v>
      </c>
      <c r="AC38" s="1809">
        <f t="shared" si="5"/>
        <v>1</v>
      </c>
    </row>
    <row r="39" spans="1:29" ht="15">
      <c r="A39" s="470"/>
      <c r="B39" s="420" t="s">
        <v>2665</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8"/>
      <c r="M39" s="1129"/>
      <c r="N39" s="1129"/>
      <c r="O39" s="1129"/>
      <c r="P39" s="3257"/>
      <c r="Q39" s="1808" t="str">
        <f t="shared" si="11"/>
        <v>层高</v>
      </c>
      <c r="R39" s="772" t="s">
        <v>17</v>
      </c>
      <c r="S39" s="773">
        <f t="shared" si="12"/>
        <v>100</v>
      </c>
      <c r="T39" s="772" t="s">
        <v>17</v>
      </c>
      <c r="U39" s="773">
        <f t="shared" si="13"/>
        <v>100</v>
      </c>
      <c r="V39" s="772" t="s">
        <v>17</v>
      </c>
      <c r="W39" s="773">
        <f t="shared" si="14"/>
        <v>100</v>
      </c>
      <c r="X39" s="1811"/>
      <c r="Y39" s="3240"/>
      <c r="Z39" s="1812" t="str">
        <f t="shared" si="15"/>
        <v>层高</v>
      </c>
      <c r="AA39" s="1809">
        <f t="shared" si="3"/>
        <v>1</v>
      </c>
      <c r="AB39" s="1809">
        <f t="shared" si="4"/>
        <v>1</v>
      </c>
      <c r="AC39" s="1809">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57"/>
      <c r="Q40" s="1808" t="str">
        <f t="shared" si="11"/>
        <v>单套建筑面积</v>
      </c>
      <c r="R40" s="772" t="s">
        <v>17</v>
      </c>
      <c r="S40" s="773">
        <f t="shared" si="12"/>
        <v>100</v>
      </c>
      <c r="T40" s="772" t="s">
        <v>17</v>
      </c>
      <c r="U40" s="773">
        <f t="shared" si="13"/>
        <v>100</v>
      </c>
      <c r="V40" s="772" t="s">
        <v>17</v>
      </c>
      <c r="W40" s="773">
        <f t="shared" si="14"/>
        <v>100</v>
      </c>
      <c r="X40" s="1811"/>
      <c r="Y40" s="3240"/>
      <c r="Z40" s="1812" t="str">
        <f t="shared" si="15"/>
        <v>单套建筑面积</v>
      </c>
      <c r="AA40" s="1809">
        <f t="shared" si="3"/>
        <v>1</v>
      </c>
      <c r="AB40" s="1809">
        <f t="shared" si="4"/>
        <v>1</v>
      </c>
      <c r="AC40" s="1809">
        <f t="shared" si="5"/>
        <v>1</v>
      </c>
    </row>
    <row r="41" spans="1:29" s="469" customFormat="1" ht="15">
      <c r="A41" s="466"/>
      <c r="B41" s="1810"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57"/>
      <c r="Q41" s="774" t="str">
        <f t="shared" si="11"/>
        <v>进深比</v>
      </c>
      <c r="R41" s="775" t="s">
        <v>17</v>
      </c>
      <c r="S41" s="776">
        <f t="shared" si="12"/>
        <v>100</v>
      </c>
      <c r="T41" s="775" t="s">
        <v>17</v>
      </c>
      <c r="U41" s="776">
        <f t="shared" si="13"/>
        <v>100</v>
      </c>
      <c r="V41" s="775" t="s">
        <v>17</v>
      </c>
      <c r="W41" s="776">
        <f t="shared" si="14"/>
        <v>100</v>
      </c>
      <c r="X41" s="777"/>
      <c r="Y41" s="3240"/>
      <c r="Z41" s="778" t="str">
        <f t="shared" si="15"/>
        <v>进深比</v>
      </c>
      <c r="AA41" s="1809">
        <f t="shared" si="3"/>
        <v>1</v>
      </c>
      <c r="AB41" s="1809">
        <f t="shared" si="4"/>
        <v>1</v>
      </c>
      <c r="AC41" s="1809">
        <f t="shared" si="5"/>
        <v>1</v>
      </c>
    </row>
    <row r="42" spans="1:29" ht="15">
      <c r="A42" s="470"/>
      <c r="B42" s="420" t="s">
        <v>2668</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8"/>
      <c r="M42" s="1129"/>
      <c r="N42" s="1129"/>
      <c r="O42" s="1129"/>
      <c r="P42" s="3257"/>
      <c r="Q42" s="1808" t="str">
        <f t="shared" si="11"/>
        <v>内部装修</v>
      </c>
      <c r="R42" s="772" t="s">
        <v>17</v>
      </c>
      <c r="S42" s="773">
        <f t="shared" si="12"/>
        <v>100</v>
      </c>
      <c r="T42" s="772" t="s">
        <v>17</v>
      </c>
      <c r="U42" s="773">
        <f t="shared" si="13"/>
        <v>100</v>
      </c>
      <c r="V42" s="772" t="s">
        <v>17</v>
      </c>
      <c r="W42" s="773">
        <f t="shared" si="14"/>
        <v>100</v>
      </c>
      <c r="X42" s="1811"/>
      <c r="Y42" s="3240"/>
      <c r="Z42" s="1812" t="str">
        <f t="shared" si="15"/>
        <v>内部装修</v>
      </c>
      <c r="AA42" s="1809">
        <f t="shared" si="3"/>
        <v>1</v>
      </c>
      <c r="AB42" s="1809">
        <f t="shared" si="4"/>
        <v>1</v>
      </c>
      <c r="AC42" s="1809">
        <f t="shared" si="5"/>
        <v>1</v>
      </c>
    </row>
    <row r="43" spans="1:29" ht="15">
      <c r="A43" s="470"/>
      <c r="B43" s="420" t="s">
        <v>2576</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8"/>
      <c r="M43" s="1129"/>
      <c r="N43" s="1129"/>
      <c r="O43" s="1129"/>
      <c r="P43" s="3257"/>
      <c r="Q43" s="1808" t="str">
        <f t="shared" si="11"/>
        <v>内部装修维护情况</v>
      </c>
      <c r="R43" s="772" t="s">
        <v>17</v>
      </c>
      <c r="S43" s="773">
        <f t="shared" si="12"/>
        <v>100</v>
      </c>
      <c r="T43" s="772" t="s">
        <v>17</v>
      </c>
      <c r="U43" s="773">
        <f t="shared" si="13"/>
        <v>100</v>
      </c>
      <c r="V43" s="772" t="s">
        <v>17</v>
      </c>
      <c r="W43" s="773">
        <f t="shared" si="14"/>
        <v>100</v>
      </c>
      <c r="X43" s="1811"/>
      <c r="Y43" s="3240"/>
      <c r="Z43" s="1812" t="str">
        <f t="shared" si="15"/>
        <v>内部装修维护情况</v>
      </c>
      <c r="AA43" s="1809">
        <f t="shared" si="3"/>
        <v>1</v>
      </c>
      <c r="AB43" s="1809">
        <f t="shared" si="4"/>
        <v>1</v>
      </c>
      <c r="AC43" s="1809">
        <f t="shared" si="5"/>
        <v>1</v>
      </c>
    </row>
    <row r="44" spans="1:29" s="116" customFormat="1" ht="15">
      <c r="A44" s="471"/>
      <c r="B44" s="1384">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0"/>
      <c r="M44" s="1131"/>
      <c r="N44" s="1131"/>
      <c r="O44" s="1131"/>
      <c r="P44" s="3257"/>
      <c r="Q44" s="1793">
        <f t="shared" si="11"/>
        <v>111</v>
      </c>
      <c r="R44" s="768" t="s">
        <v>17</v>
      </c>
      <c r="S44" s="769">
        <f t="shared" si="12"/>
        <v>100</v>
      </c>
      <c r="T44" s="768" t="s">
        <v>17</v>
      </c>
      <c r="U44" s="769">
        <f t="shared" si="13"/>
        <v>100</v>
      </c>
      <c r="V44" s="768" t="s">
        <v>17</v>
      </c>
      <c r="W44" s="769">
        <f t="shared" si="14"/>
        <v>100</v>
      </c>
      <c r="X44" s="770"/>
      <c r="Y44" s="3240"/>
      <c r="Z44" s="54">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57"/>
      <c r="Q45" s="1808">
        <f t="shared" si="11"/>
        <v>111</v>
      </c>
      <c r="R45" s="772" t="s">
        <v>17</v>
      </c>
      <c r="S45" s="773">
        <f t="shared" si="12"/>
        <v>100</v>
      </c>
      <c r="T45" s="772" t="s">
        <v>17</v>
      </c>
      <c r="U45" s="773">
        <f t="shared" si="13"/>
        <v>100</v>
      </c>
      <c r="V45" s="772" t="s">
        <v>17</v>
      </c>
      <c r="W45" s="773">
        <f t="shared" si="14"/>
        <v>100</v>
      </c>
      <c r="X45" s="1811"/>
      <c r="Y45" s="3240"/>
      <c r="Z45" s="1812">
        <f t="shared" si="15"/>
        <v>111</v>
      </c>
      <c r="AA45" s="1809">
        <f t="shared" si="3"/>
        <v>1</v>
      </c>
      <c r="AB45" s="1809">
        <f t="shared" si="4"/>
        <v>1</v>
      </c>
      <c r="AC45" s="1809">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58"/>
      <c r="Q46" s="1808">
        <f t="shared" si="11"/>
        <v>111</v>
      </c>
      <c r="R46" s="772" t="s">
        <v>17</v>
      </c>
      <c r="S46" s="773">
        <f t="shared" si="12"/>
        <v>100</v>
      </c>
      <c r="T46" s="772" t="s">
        <v>17</v>
      </c>
      <c r="U46" s="773">
        <f t="shared" si="13"/>
        <v>100</v>
      </c>
      <c r="V46" s="772" t="s">
        <v>17</v>
      </c>
      <c r="W46" s="773">
        <f t="shared" si="14"/>
        <v>100</v>
      </c>
      <c r="X46" s="1811"/>
      <c r="Y46" s="3259"/>
      <c r="Z46" s="1812">
        <f t="shared" si="15"/>
        <v>111</v>
      </c>
      <c r="AA46" s="1809">
        <f t="shared" si="3"/>
        <v>1</v>
      </c>
      <c r="AB46" s="1809">
        <f t="shared" si="4"/>
        <v>1</v>
      </c>
      <c r="AC46" s="1809">
        <f t="shared" si="5"/>
        <v>1</v>
      </c>
    </row>
    <row r="47" spans="1:29" ht="15">
      <c r="A47" s="477" t="s">
        <v>2577</v>
      </c>
      <c r="B47" s="478"/>
      <c r="C47" s="1405" t="s">
        <v>1</v>
      </c>
      <c r="D47" s="1406"/>
      <c r="E47" s="1407"/>
      <c r="F47" s="1408"/>
      <c r="G47" s="1409"/>
      <c r="H47" s="1410"/>
      <c r="I47" s="1407"/>
      <c r="J47" s="1410"/>
      <c r="K47" s="781"/>
      <c r="L47" s="1141"/>
      <c r="M47" s="1142"/>
      <c r="N47" s="1129"/>
      <c r="O47" s="1142"/>
      <c r="P47" s="3222" t="str">
        <f>A47</f>
        <v>成交单价（元/平方米）</v>
      </c>
      <c r="Q47" s="3222"/>
      <c r="R47" s="3235">
        <f>E47</f>
        <v>0</v>
      </c>
      <c r="S47" s="3235"/>
      <c r="T47" s="3235">
        <f>G47</f>
        <v>0</v>
      </c>
      <c r="U47" s="3235"/>
      <c r="V47" s="3235">
        <f>I47</f>
        <v>0</v>
      </c>
      <c r="W47" s="3235"/>
      <c r="X47" s="757"/>
      <c r="Y47" s="779"/>
      <c r="Z47" s="757"/>
      <c r="AA47" s="757"/>
      <c r="AB47" s="757"/>
      <c r="AC47" s="757"/>
    </row>
    <row r="48" spans="1:29" ht="15.75" thickBot="1">
      <c r="A48" s="484" t="s">
        <v>2669</v>
      </c>
      <c r="B48" s="485"/>
      <c r="C48" s="1411" t="e">
        <f>R49</f>
        <v>#DIV/0!</v>
      </c>
      <c r="D48" s="1412"/>
      <c r="E48" s="1413" t="e">
        <f>R48</f>
        <v>#DIV/0!</v>
      </c>
      <c r="F48" s="1413"/>
      <c r="G48" s="1411" t="e">
        <f>T48</f>
        <v>#DIV/0!</v>
      </c>
      <c r="H48" s="1412"/>
      <c r="I48" s="1413" t="e">
        <f>V48</f>
        <v>#DIV/0!</v>
      </c>
      <c r="J48" s="1412"/>
      <c r="K48" s="782"/>
      <c r="L48" s="1141"/>
      <c r="M48" s="1142"/>
      <c r="N48" s="1129"/>
      <c r="O48" s="1142"/>
      <c r="P48" s="3222" t="str">
        <f>A48</f>
        <v>比较价值（元/平方米）</v>
      </c>
      <c r="Q48" s="3222"/>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7"/>
      <c r="Y48" s="757"/>
      <c r="Z48" s="757"/>
      <c r="AA48" s="757"/>
      <c r="AB48" s="757"/>
      <c r="AC48" s="757"/>
    </row>
    <row r="49" spans="1:29" ht="15.75" thickBot="1">
      <c r="A49" s="490" t="s">
        <v>2670</v>
      </c>
      <c r="B49" s="491"/>
      <c r="C49" s="1415" t="e">
        <f>R49</f>
        <v>#DIV/0!</v>
      </c>
      <c r="D49" s="1415"/>
      <c r="E49" s="1415"/>
      <c r="F49" s="1415"/>
      <c r="G49" s="1415"/>
      <c r="H49" s="1415"/>
      <c r="I49" s="1415"/>
      <c r="J49" s="1415"/>
      <c r="K49" s="783"/>
      <c r="L49" s="1141"/>
      <c r="M49" s="1142"/>
      <c r="N49" s="1129"/>
      <c r="O49" s="1142"/>
      <c r="P49" s="3242" t="str">
        <f>A49</f>
        <v>估价对象XX用房的比较价值（楼面单价，元/平方米）</v>
      </c>
      <c r="Q49" s="3243"/>
      <c r="R49" s="3254" t="e">
        <f>IF(F1="售价",ROUND(AVERAGE(R48:V48),0),ROUND(AVERAGE(R48:V48),1))</f>
        <v>#DIV/0!</v>
      </c>
      <c r="S49" s="3254"/>
      <c r="T49" s="3254"/>
      <c r="U49" s="3254"/>
      <c r="V49" s="3254"/>
      <c r="W49" s="3254"/>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6" customFormat="1" ht="15">
      <c r="A58" s="503" t="s">
        <v>2548</v>
      </c>
      <c r="B58" s="504"/>
      <c r="C58" s="1572" t="str">
        <f>YEAR(C7)&amp;"-"&amp;MONTH(C7)</f>
        <v>2018-3</v>
      </c>
      <c r="D58" s="1573">
        <f>EDATE(C58,-1)</f>
        <v>43132</v>
      </c>
      <c r="E58" s="1573">
        <f t="shared" ref="E58:N58" si="16">EDATE(D58,-1)</f>
        <v>43101</v>
      </c>
      <c r="F58" s="1573">
        <f t="shared" si="16"/>
        <v>43070</v>
      </c>
      <c r="G58" s="1573">
        <f t="shared" si="16"/>
        <v>43040</v>
      </c>
      <c r="H58" s="1573">
        <f t="shared" si="16"/>
        <v>43009</v>
      </c>
      <c r="I58" s="1573">
        <f t="shared" si="16"/>
        <v>42979</v>
      </c>
      <c r="J58" s="1573">
        <f t="shared" si="16"/>
        <v>42948</v>
      </c>
      <c r="K58" s="1573">
        <f t="shared" si="16"/>
        <v>42917</v>
      </c>
      <c r="L58" s="1573">
        <f t="shared" si="16"/>
        <v>42887</v>
      </c>
      <c r="M58" s="1573">
        <f t="shared" si="16"/>
        <v>42856</v>
      </c>
      <c r="N58" s="1573">
        <f t="shared" si="16"/>
        <v>42826</v>
      </c>
      <c r="O58" s="1573">
        <f>EDATE(N58,-1)</f>
        <v>42795</v>
      </c>
      <c r="P58" s="1568"/>
    </row>
    <row r="59" spans="1:29" s="116" customFormat="1" ht="15">
      <c r="A59" s="507"/>
      <c r="B59" s="508"/>
      <c r="C59" s="1571">
        <v>100</v>
      </c>
      <c r="D59" s="510"/>
      <c r="E59" s="510"/>
      <c r="F59" s="510"/>
      <c r="G59" s="510"/>
      <c r="H59" s="510"/>
      <c r="I59" s="510"/>
      <c r="J59" s="510"/>
      <c r="K59" s="510"/>
      <c r="L59" s="510"/>
      <c r="M59" s="511"/>
      <c r="N59" s="510"/>
      <c r="O59" s="511"/>
      <c r="P59" s="2624"/>
    </row>
    <row r="60" spans="1:29" s="116" customFormat="1" ht="15.75" thickBot="1">
      <c r="A60" s="513" t="s">
        <v>2585</v>
      </c>
      <c r="B60" s="514"/>
      <c r="C60" s="515"/>
      <c r="D60" s="516"/>
      <c r="E60" s="516"/>
      <c r="F60" s="516"/>
      <c r="G60" s="516"/>
      <c r="H60" s="516"/>
      <c r="I60" s="516"/>
      <c r="J60" s="516"/>
      <c r="K60" s="516"/>
      <c r="L60" s="516"/>
      <c r="M60" s="517"/>
      <c r="N60" s="516"/>
      <c r="O60" s="517"/>
      <c r="P60" s="2624"/>
      <c r="Q60" s="502"/>
    </row>
    <row r="61" spans="1:29" s="116" customFormat="1" ht="15">
      <c r="A61" s="519" t="s">
        <v>2550</v>
      </c>
      <c r="B61" s="508"/>
      <c r="C61" s="520" t="s">
        <v>2652</v>
      </c>
      <c r="D61" s="521"/>
      <c r="E61" s="521"/>
      <c r="F61" s="521"/>
      <c r="G61" s="521"/>
      <c r="H61" s="521"/>
      <c r="I61" s="521"/>
      <c r="J61" s="521"/>
      <c r="K61" s="521"/>
      <c r="L61" s="522"/>
      <c r="M61" s="523"/>
      <c r="N61" s="1149"/>
      <c r="O61" s="1149"/>
      <c r="P61" s="2625"/>
      <c r="Q61" s="502"/>
    </row>
    <row r="62" spans="1:29" s="116" customFormat="1" ht="15.75" thickBot="1">
      <c r="A62" s="519"/>
      <c r="B62" s="508"/>
      <c r="C62" s="509">
        <v>100</v>
      </c>
      <c r="D62" s="510"/>
      <c r="E62" s="510"/>
      <c r="F62" s="510"/>
      <c r="G62" s="510"/>
      <c r="H62" s="510"/>
      <c r="I62" s="510"/>
      <c r="J62" s="510"/>
      <c r="K62" s="510"/>
      <c r="L62" s="510"/>
      <c r="M62" s="512"/>
      <c r="N62" s="1149"/>
      <c r="O62" s="1149"/>
      <c r="P62" s="2624"/>
      <c r="Q62" s="502"/>
    </row>
    <row r="63" spans="1:29">
      <c r="A63" s="525" t="s">
        <v>2588</v>
      </c>
      <c r="B63" s="526" t="s">
        <v>2554</v>
      </c>
      <c r="C63" s="527">
        <f>C9</f>
        <v>0</v>
      </c>
      <c r="D63" s="528"/>
      <c r="E63" s="528"/>
      <c r="F63" s="528"/>
      <c r="G63" s="528"/>
      <c r="H63" s="528"/>
      <c r="I63" s="528"/>
      <c r="J63" s="528"/>
      <c r="K63" s="529"/>
      <c r="L63" s="530"/>
      <c r="M63" s="531"/>
      <c r="N63" s="1150"/>
      <c r="O63" s="1150"/>
      <c r="P63" s="2626"/>
      <c r="Q63" s="502"/>
    </row>
    <row r="64" spans="1:29" ht="15.75" thickBot="1">
      <c r="A64" s="532"/>
      <c r="B64" s="533"/>
      <c r="C64" s="534">
        <v>100</v>
      </c>
      <c r="D64" s="534"/>
      <c r="E64" s="534"/>
      <c r="F64" s="534"/>
      <c r="G64" s="534"/>
      <c r="H64" s="534"/>
      <c r="I64" s="534"/>
      <c r="J64" s="534"/>
      <c r="K64" s="534"/>
      <c r="L64" s="534"/>
      <c r="M64" s="535"/>
      <c r="N64" s="1151"/>
      <c r="O64" s="1151"/>
      <c r="P64" s="2626"/>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50"/>
      <c r="O65" s="1150"/>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6"/>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6"/>
      <c r="Q67" s="502"/>
    </row>
    <row r="68" spans="1:17" ht="15">
      <c r="A68" s="532"/>
      <c r="B68" s="546"/>
      <c r="C68" s="547"/>
      <c r="D68" s="547"/>
      <c r="E68" s="547"/>
      <c r="F68" s="547"/>
      <c r="G68" s="547"/>
      <c r="H68" s="547"/>
      <c r="I68" s="547"/>
      <c r="J68" s="547"/>
      <c r="K68" s="548"/>
      <c r="L68" s="549"/>
      <c r="M68" s="550"/>
      <c r="N68" s="1150"/>
      <c r="O68" s="1150"/>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6"/>
      <c r="Q69" s="502"/>
    </row>
    <row r="70" spans="1:17" s="469" customFormat="1" ht="15.75" thickTop="1">
      <c r="A70" s="551"/>
      <c r="B70" s="536">
        <f>B12</f>
        <v>111</v>
      </c>
      <c r="C70" s="552"/>
      <c r="D70" s="552"/>
      <c r="E70" s="552"/>
      <c r="F70" s="552"/>
      <c r="G70" s="552"/>
      <c r="H70" s="553"/>
      <c r="I70" s="553"/>
      <c r="J70" s="553"/>
      <c r="K70" s="553"/>
      <c r="L70" s="554"/>
      <c r="M70" s="555"/>
      <c r="N70" s="1152"/>
      <c r="O70" s="1152"/>
      <c r="P70" s="2627"/>
      <c r="Q70" s="557"/>
    </row>
    <row r="71" spans="1:17" s="469" customFormat="1" ht="15.75" thickBot="1">
      <c r="A71" s="551"/>
      <c r="B71" s="541"/>
      <c r="C71" s="558"/>
      <c r="D71" s="534"/>
      <c r="E71" s="534"/>
      <c r="F71" s="534"/>
      <c r="G71" s="534"/>
      <c r="H71" s="534"/>
      <c r="I71" s="534"/>
      <c r="J71" s="534"/>
      <c r="K71" s="534"/>
      <c r="L71" s="534"/>
      <c r="M71" s="535"/>
      <c r="N71" s="1151"/>
      <c r="O71" s="1151"/>
      <c r="P71" s="2627"/>
      <c r="Q71" s="557"/>
    </row>
    <row r="72" spans="1:17" s="469" customFormat="1" ht="15.75" thickTop="1">
      <c r="A72" s="551"/>
      <c r="B72" s="536">
        <f>B13</f>
        <v>111</v>
      </c>
      <c r="C72" s="552"/>
      <c r="D72" s="552"/>
      <c r="E72" s="552"/>
      <c r="F72" s="552"/>
      <c r="G72" s="552"/>
      <c r="H72" s="553"/>
      <c r="I72" s="553"/>
      <c r="J72" s="553"/>
      <c r="K72" s="553"/>
      <c r="L72" s="554"/>
      <c r="M72" s="555"/>
      <c r="N72" s="1152"/>
      <c r="O72" s="1152"/>
      <c r="P72" s="2628"/>
      <c r="Q72" s="559"/>
    </row>
    <row r="73" spans="1:17" s="469" customFormat="1" ht="15.75" thickBot="1">
      <c r="A73" s="551"/>
      <c r="B73" s="541"/>
      <c r="C73" s="558"/>
      <c r="D73" s="534"/>
      <c r="E73" s="534"/>
      <c r="F73" s="534"/>
      <c r="G73" s="558"/>
      <c r="H73" s="560"/>
      <c r="I73" s="560"/>
      <c r="J73" s="560"/>
      <c r="K73" s="560"/>
      <c r="L73" s="560"/>
      <c r="M73" s="561"/>
      <c r="N73" s="1152"/>
      <c r="O73" s="1152"/>
      <c r="P73" s="2627"/>
      <c r="Q73" s="557"/>
    </row>
    <row r="74" spans="1:17" s="469" customFormat="1" ht="15.75" thickTop="1">
      <c r="A74" s="551"/>
      <c r="B74" s="544">
        <f>B14</f>
        <v>111</v>
      </c>
      <c r="C74" s="552"/>
      <c r="D74" s="552"/>
      <c r="E74" s="552"/>
      <c r="F74" s="552"/>
      <c r="G74" s="521"/>
      <c r="H74" s="562"/>
      <c r="I74" s="562"/>
      <c r="J74" s="562"/>
      <c r="K74" s="562"/>
      <c r="L74" s="563"/>
      <c r="M74" s="564"/>
      <c r="N74" s="1152"/>
      <c r="O74" s="1152"/>
      <c r="P74" s="2629"/>
      <c r="Q74" s="557"/>
    </row>
    <row r="75" spans="1:17" s="469" customFormat="1" ht="15.75" thickBot="1">
      <c r="A75" s="566"/>
      <c r="B75" s="567"/>
      <c r="C75" s="568"/>
      <c r="D75" s="568"/>
      <c r="E75" s="568"/>
      <c r="F75" s="568"/>
      <c r="G75" s="568"/>
      <c r="H75" s="569"/>
      <c r="I75" s="569"/>
      <c r="J75" s="569"/>
      <c r="K75" s="569"/>
      <c r="L75" s="569"/>
      <c r="M75" s="570"/>
      <c r="N75" s="1152"/>
      <c r="O75" s="1152"/>
      <c r="P75" s="2627"/>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50"/>
      <c r="O76" s="1150"/>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6"/>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50"/>
      <c r="O78" s="1150"/>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6"/>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50"/>
      <c r="O80" s="1150"/>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6"/>
      <c r="Q81" s="502"/>
    </row>
    <row r="82" spans="1:17" ht="15.75" thickTop="1">
      <c r="A82" s="532"/>
      <c r="B82" s="544" t="s">
        <v>2655</v>
      </c>
      <c r="C82" s="658" t="s">
        <v>2675</v>
      </c>
      <c r="D82" s="658" t="s">
        <v>2676</v>
      </c>
      <c r="E82" s="658" t="s">
        <v>2677</v>
      </c>
      <c r="F82" s="658" t="s">
        <v>2678</v>
      </c>
      <c r="G82" s="658" t="s">
        <v>2679</v>
      </c>
      <c r="H82" s="537"/>
      <c r="I82" s="537"/>
      <c r="J82" s="537"/>
      <c r="K82" s="537"/>
      <c r="L82" s="537"/>
      <c r="M82" s="1380"/>
      <c r="N82" s="1151"/>
      <c r="O82" s="1151"/>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6"/>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50"/>
      <c r="O84" s="1150"/>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6"/>
      <c r="Q85" s="502"/>
    </row>
    <row r="86" spans="1:17" s="116" customFormat="1" ht="15.75" thickTop="1">
      <c r="A86" s="577"/>
      <c r="B86" s="536" t="s">
        <v>2680</v>
      </c>
      <c r="C86" s="552"/>
      <c r="D86" s="552"/>
      <c r="E86" s="552"/>
      <c r="F86" s="552"/>
      <c r="G86" s="552"/>
      <c r="H86" s="552"/>
      <c r="I86" s="552"/>
      <c r="J86" s="552"/>
      <c r="K86" s="552"/>
      <c r="L86" s="578"/>
      <c r="M86" s="579"/>
      <c r="N86" s="1149"/>
      <c r="O86" s="1149"/>
      <c r="P86" s="2626"/>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6"/>
      <c r="Q87" s="502"/>
    </row>
    <row r="88" spans="1:17" s="116" customFormat="1" ht="15.75" thickTop="1">
      <c r="A88" s="577"/>
      <c r="B88" s="536" t="str">
        <f>B26</f>
        <v>平面位置/可视性</v>
      </c>
      <c r="C88" s="552"/>
      <c r="D88" s="552"/>
      <c r="E88" s="552"/>
      <c r="F88" s="2631"/>
      <c r="G88" s="552"/>
      <c r="H88" s="552"/>
      <c r="I88" s="552"/>
      <c r="J88" s="552"/>
      <c r="K88" s="552"/>
      <c r="L88" s="552"/>
      <c r="M88" s="579"/>
      <c r="N88" s="1149"/>
      <c r="O88" s="1149"/>
      <c r="P88" s="2626"/>
      <c r="Q88" s="502"/>
    </row>
    <row r="89" spans="1:17" s="116" customFormat="1" ht="15.75" thickBot="1">
      <c r="A89" s="577"/>
      <c r="B89" s="541"/>
      <c r="C89" s="558"/>
      <c r="D89" s="534"/>
      <c r="E89" s="534"/>
      <c r="F89" s="534"/>
      <c r="G89" s="534"/>
      <c r="H89" s="534"/>
      <c r="I89" s="534"/>
      <c r="J89" s="534"/>
      <c r="K89" s="534"/>
      <c r="L89" s="534"/>
      <c r="M89" s="534"/>
      <c r="N89" s="1151"/>
      <c r="O89" s="1151"/>
      <c r="P89" s="2626"/>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7"/>
      <c r="Q91" s="557"/>
    </row>
    <row r="92" spans="1:17" ht="15.75" thickTop="1">
      <c r="A92" s="532"/>
      <c r="B92" s="536" t="str">
        <f>B28</f>
        <v>楼层</v>
      </c>
      <c r="C92" s="552"/>
      <c r="D92" s="552"/>
      <c r="E92" s="552"/>
      <c r="F92" s="552"/>
      <c r="G92" s="552"/>
      <c r="H92" s="552"/>
      <c r="I92" s="552"/>
      <c r="J92" s="552"/>
      <c r="K92" s="552"/>
      <c r="L92" s="578"/>
      <c r="M92" s="579"/>
      <c r="N92" s="1150"/>
      <c r="O92" s="1150"/>
      <c r="P92" s="2626"/>
      <c r="Q92" s="502"/>
    </row>
    <row r="93" spans="1:17" ht="15.75" thickBot="1">
      <c r="A93" s="532"/>
      <c r="B93" s="541"/>
      <c r="C93" s="534"/>
      <c r="D93" s="534"/>
      <c r="E93" s="534"/>
      <c r="F93" s="534"/>
      <c r="G93" s="534"/>
      <c r="H93" s="534"/>
      <c r="I93" s="534"/>
      <c r="J93" s="534"/>
      <c r="K93" s="534"/>
      <c r="L93" s="534"/>
      <c r="M93" s="535"/>
      <c r="N93" s="1151"/>
      <c r="O93" s="1151"/>
      <c r="P93" s="2626"/>
      <c r="Q93" s="502"/>
    </row>
    <row r="94" spans="1:17" ht="15.75" thickTop="1">
      <c r="A94" s="532"/>
      <c r="B94" s="536">
        <f>B29</f>
        <v>111</v>
      </c>
      <c r="C94" s="552"/>
      <c r="D94" s="552"/>
      <c r="E94" s="552"/>
      <c r="F94" s="552"/>
      <c r="G94" s="581"/>
      <c r="H94" s="581"/>
      <c r="I94" s="581"/>
      <c r="J94" s="581"/>
      <c r="K94" s="582"/>
      <c r="L94" s="583"/>
      <c r="M94" s="584"/>
      <c r="N94" s="1150"/>
      <c r="O94" s="1150"/>
      <c r="P94" s="2626"/>
      <c r="Q94" s="502"/>
    </row>
    <row r="95" spans="1:17" ht="15.75" thickBot="1">
      <c r="A95" s="532"/>
      <c r="B95" s="541"/>
      <c r="C95" s="558"/>
      <c r="D95" s="534"/>
      <c r="E95" s="534"/>
      <c r="F95" s="534"/>
      <c r="G95" s="534"/>
      <c r="H95" s="534"/>
      <c r="I95" s="534"/>
      <c r="J95" s="534"/>
      <c r="K95" s="534"/>
      <c r="L95" s="534"/>
      <c r="M95" s="535"/>
      <c r="N95" s="1151"/>
      <c r="O95" s="1151"/>
      <c r="P95" s="2626"/>
      <c r="Q95" s="502"/>
    </row>
    <row r="96" spans="1:17" ht="15.75" thickTop="1">
      <c r="A96" s="532"/>
      <c r="B96" s="536">
        <f>B30</f>
        <v>111</v>
      </c>
      <c r="C96" s="552"/>
      <c r="D96" s="552"/>
      <c r="E96" s="552"/>
      <c r="F96" s="552"/>
      <c r="G96" s="581"/>
      <c r="H96" s="581"/>
      <c r="I96" s="581"/>
      <c r="J96" s="581"/>
      <c r="K96" s="582"/>
      <c r="L96" s="583"/>
      <c r="M96" s="584"/>
      <c r="N96" s="1150"/>
      <c r="O96" s="1150"/>
      <c r="P96" s="2626"/>
      <c r="Q96" s="502"/>
    </row>
    <row r="97" spans="1:17" ht="15.75" thickBot="1">
      <c r="A97" s="532"/>
      <c r="B97" s="541"/>
      <c r="C97" s="558"/>
      <c r="D97" s="534"/>
      <c r="E97" s="534"/>
      <c r="F97" s="534"/>
      <c r="G97" s="534"/>
      <c r="H97" s="534"/>
      <c r="I97" s="534"/>
      <c r="J97" s="534"/>
      <c r="K97" s="534"/>
      <c r="L97" s="534"/>
      <c r="M97" s="535"/>
      <c r="N97" s="1151"/>
      <c r="O97" s="1151"/>
      <c r="P97" s="2626"/>
      <c r="Q97" s="502"/>
    </row>
    <row r="98" spans="1:17" ht="15.75" thickTop="1">
      <c r="A98" s="532"/>
      <c r="B98" s="544">
        <f>B31</f>
        <v>111</v>
      </c>
      <c r="C98" s="552"/>
      <c r="D98" s="552"/>
      <c r="E98" s="552"/>
      <c r="F98" s="552"/>
      <c r="G98" s="585"/>
      <c r="H98" s="585"/>
      <c r="I98" s="585"/>
      <c r="J98" s="585"/>
      <c r="K98" s="586"/>
      <c r="L98" s="587"/>
      <c r="M98" s="588"/>
      <c r="N98" s="1150"/>
      <c r="O98" s="1150"/>
      <c r="P98" s="2626"/>
      <c r="Q98" s="502"/>
    </row>
    <row r="99" spans="1:17" ht="15.75" thickBot="1">
      <c r="A99" s="2632"/>
      <c r="B99" s="567"/>
      <c r="C99" s="568"/>
      <c r="D99" s="568"/>
      <c r="E99" s="568"/>
      <c r="F99" s="568"/>
      <c r="G99" s="589"/>
      <c r="H99" s="589"/>
      <c r="I99" s="589"/>
      <c r="J99" s="589"/>
      <c r="K99" s="589"/>
      <c r="L99" s="589"/>
      <c r="M99" s="590"/>
      <c r="N99" s="1151"/>
      <c r="O99" s="1151"/>
      <c r="P99" s="2626"/>
      <c r="Q99" s="502"/>
    </row>
    <row r="100" spans="1:17">
      <c r="A100" s="525" t="s">
        <v>2563</v>
      </c>
      <c r="B100" s="526" t="s">
        <v>2681</v>
      </c>
      <c r="C100" s="528"/>
      <c r="D100" s="528"/>
      <c r="E100" s="528"/>
      <c r="F100" s="528"/>
      <c r="G100" s="528"/>
      <c r="H100" s="528"/>
      <c r="I100" s="528"/>
      <c r="J100" s="528"/>
      <c r="K100" s="529"/>
      <c r="L100" s="530"/>
      <c r="M100" s="531"/>
      <c r="N100" s="1150"/>
      <c r="O100" s="1150"/>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6"/>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6"/>
      <c r="Q102" s="502"/>
    </row>
    <row r="103" spans="1:17" s="469" customFormat="1">
      <c r="A103" s="591"/>
      <c r="B103" s="592"/>
      <c r="C103" s="593"/>
      <c r="D103" s="593"/>
      <c r="E103" s="593"/>
      <c r="F103" s="593"/>
      <c r="G103" s="593"/>
      <c r="H103" s="593"/>
      <c r="I103" s="593"/>
      <c r="J103" s="594"/>
      <c r="K103" s="594"/>
      <c r="L103" s="595"/>
      <c r="M103" s="596"/>
      <c r="N103" s="1152"/>
      <c r="O103" s="1152"/>
      <c r="P103" s="2627"/>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7"/>
      <c r="Q104" s="557"/>
    </row>
    <row r="105" spans="1:17" ht="15" thickTop="1">
      <c r="A105" s="597"/>
      <c r="B105" s="536" t="s">
        <v>2614</v>
      </c>
      <c r="C105" s="552"/>
      <c r="D105" s="552"/>
      <c r="E105" s="581"/>
      <c r="F105" s="581"/>
      <c r="G105" s="581"/>
      <c r="H105" s="581"/>
      <c r="I105" s="581"/>
      <c r="J105" s="581"/>
      <c r="K105" s="582"/>
      <c r="L105" s="583"/>
      <c r="M105" s="584"/>
      <c r="N105" s="1150"/>
      <c r="O105" s="1150"/>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6"/>
      <c r="Q106" s="502"/>
    </row>
    <row r="107" spans="1:17" ht="15" thickTop="1">
      <c r="A107" s="597"/>
      <c r="B107" s="536" t="s">
        <v>2616</v>
      </c>
      <c r="C107" s="552"/>
      <c r="D107" s="552"/>
      <c r="E107" s="552"/>
      <c r="F107" s="581"/>
      <c r="G107" s="581"/>
      <c r="H107" s="581"/>
      <c r="I107" s="581"/>
      <c r="J107" s="581"/>
      <c r="K107" s="582"/>
      <c r="L107" s="583"/>
      <c r="M107" s="584"/>
      <c r="N107" s="1150"/>
      <c r="O107" s="1150"/>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6"/>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6"/>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6"/>
      <c r="Q111" s="502"/>
    </row>
    <row r="112" spans="1:17" s="469" customFormat="1" ht="15" thickTop="1">
      <c r="A112" s="591"/>
      <c r="B112" s="536" t="s">
        <v>2618</v>
      </c>
      <c r="C112" s="552"/>
      <c r="D112" s="552"/>
      <c r="E112" s="552"/>
      <c r="F112" s="552"/>
      <c r="G112" s="552"/>
      <c r="H112" s="581"/>
      <c r="I112" s="581"/>
      <c r="J112" s="581"/>
      <c r="K112" s="582"/>
      <c r="L112" s="583"/>
      <c r="M112" s="584"/>
      <c r="N112" s="1152"/>
      <c r="O112" s="1152"/>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7"/>
      <c r="Q113" s="557"/>
    </row>
    <row r="114" spans="1:17" ht="15" thickTop="1">
      <c r="A114" s="597"/>
      <c r="B114" s="536" t="s">
        <v>2682</v>
      </c>
      <c r="C114" s="552"/>
      <c r="D114" s="552"/>
      <c r="E114" s="581"/>
      <c r="F114" s="581"/>
      <c r="G114" s="581"/>
      <c r="H114" s="581"/>
      <c r="I114" s="581"/>
      <c r="J114" s="581"/>
      <c r="K114" s="582"/>
      <c r="L114" s="583"/>
      <c r="M114" s="584"/>
      <c r="N114" s="1150"/>
      <c r="O114" s="1150"/>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6"/>
      <c r="Q115" s="502"/>
    </row>
    <row r="116" spans="1:17" ht="15" thickTop="1">
      <c r="A116" s="597"/>
      <c r="B116" s="536" t="s">
        <v>2683</v>
      </c>
      <c r="C116" s="552"/>
      <c r="D116" s="552"/>
      <c r="E116" s="552"/>
      <c r="F116" s="552"/>
      <c r="G116" s="552"/>
      <c r="H116" s="581"/>
      <c r="I116" s="581"/>
      <c r="J116" s="581"/>
      <c r="K116" s="582"/>
      <c r="L116" s="583"/>
      <c r="M116" s="584"/>
      <c r="N116" s="1150"/>
      <c r="O116" s="1150"/>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6"/>
      <c r="Q117" s="502"/>
    </row>
    <row r="118" spans="1:17" ht="15" thickTop="1">
      <c r="A118" s="597"/>
      <c r="B118" s="536" t="s">
        <v>2684</v>
      </c>
      <c r="C118" s="625"/>
      <c r="D118" s="625"/>
      <c r="E118" s="625"/>
      <c r="F118" s="625"/>
      <c r="G118" s="625"/>
      <c r="H118" s="553"/>
      <c r="I118" s="553"/>
      <c r="J118" s="553"/>
      <c r="K118" s="553"/>
      <c r="L118" s="554"/>
      <c r="M118" s="555"/>
      <c r="N118" s="1150"/>
      <c r="O118" s="1150"/>
      <c r="P118" s="2626"/>
      <c r="Q118" s="502"/>
    </row>
    <row r="119" spans="1:17" ht="15.75" thickBot="1">
      <c r="A119" s="532"/>
      <c r="B119" s="541"/>
      <c r="C119" s="558"/>
      <c r="D119" s="534"/>
      <c r="E119" s="534"/>
      <c r="F119" s="534"/>
      <c r="G119" s="534"/>
      <c r="H119" s="534"/>
      <c r="I119" s="534"/>
      <c r="J119" s="534"/>
      <c r="K119" s="534"/>
      <c r="L119" s="534"/>
      <c r="M119" s="535"/>
      <c r="N119" s="1151"/>
      <c r="O119" s="1151"/>
      <c r="P119" s="2626"/>
      <c r="Q119" s="502"/>
    </row>
    <row r="120" spans="1:17" s="469" customFormat="1" ht="15" thickTop="1">
      <c r="A120" s="591"/>
      <c r="B120" s="536" t="s">
        <v>2685</v>
      </c>
      <c r="C120" s="581"/>
      <c r="D120" s="581"/>
      <c r="E120" s="581"/>
      <c r="F120" s="581"/>
      <c r="G120" s="553"/>
      <c r="H120" s="553"/>
      <c r="I120" s="553"/>
      <c r="J120" s="553"/>
      <c r="K120" s="553"/>
      <c r="L120" s="554"/>
      <c r="M120" s="555"/>
      <c r="N120" s="1152"/>
      <c r="O120" s="1152"/>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7"/>
      <c r="Q121" s="557"/>
    </row>
    <row r="122" spans="1:17" ht="15" thickTop="1">
      <c r="A122" s="597"/>
      <c r="B122" s="536" t="s">
        <v>2620</v>
      </c>
      <c r="C122" s="552"/>
      <c r="D122" s="552"/>
      <c r="E122" s="552"/>
      <c r="F122" s="581"/>
      <c r="G122" s="581"/>
      <c r="H122" s="581"/>
      <c r="I122" s="581"/>
      <c r="J122" s="581"/>
      <c r="K122" s="582"/>
      <c r="L122" s="583"/>
      <c r="M122" s="584"/>
      <c r="N122" s="1150"/>
      <c r="O122" s="1150"/>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6"/>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50"/>
      <c r="O124" s="1150"/>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6"/>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7"/>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7"/>
      <c r="Q127" s="557"/>
    </row>
    <row r="128" spans="1:17" ht="15" thickTop="1">
      <c r="A128" s="597"/>
      <c r="B128" s="536">
        <f>B45</f>
        <v>111</v>
      </c>
      <c r="C128" s="552"/>
      <c r="D128" s="552"/>
      <c r="E128" s="552"/>
      <c r="F128" s="552"/>
      <c r="G128" s="581"/>
      <c r="H128" s="581"/>
      <c r="I128" s="581"/>
      <c r="J128" s="581"/>
      <c r="K128" s="582"/>
      <c r="L128" s="583"/>
      <c r="M128" s="584"/>
      <c r="N128" s="1150"/>
      <c r="O128" s="1150"/>
      <c r="P128" s="2626"/>
      <c r="Q128" s="502"/>
    </row>
    <row r="129" spans="1:17" ht="15.75" thickBot="1">
      <c r="A129" s="532"/>
      <c r="B129" s="541"/>
      <c r="C129" s="558"/>
      <c r="D129" s="534"/>
      <c r="E129" s="534"/>
      <c r="F129" s="534"/>
      <c r="G129" s="534"/>
      <c r="H129" s="534"/>
      <c r="I129" s="534"/>
      <c r="J129" s="534"/>
      <c r="K129" s="534"/>
      <c r="L129" s="534"/>
      <c r="M129" s="535"/>
      <c r="N129" s="1151"/>
      <c r="O129" s="1151"/>
      <c r="P129" s="2626"/>
      <c r="Q129" s="502"/>
    </row>
    <row r="130" spans="1:17" ht="15" thickTop="1">
      <c r="A130" s="597"/>
      <c r="B130" s="544">
        <f>B46</f>
        <v>111</v>
      </c>
      <c r="C130" s="552"/>
      <c r="D130" s="552"/>
      <c r="E130" s="552"/>
      <c r="F130" s="552"/>
      <c r="G130" s="585"/>
      <c r="H130" s="585"/>
      <c r="I130" s="585"/>
      <c r="J130" s="585"/>
      <c r="K130" s="521"/>
      <c r="L130" s="522"/>
      <c r="M130" s="588"/>
      <c r="N130" s="1150"/>
      <c r="O130" s="1150"/>
      <c r="P130" s="2626"/>
      <c r="Q130" s="502"/>
    </row>
    <row r="131" spans="1:17" ht="15.75" thickBot="1">
      <c r="A131" s="2632"/>
      <c r="B131" s="567"/>
      <c r="C131" s="568"/>
      <c r="D131" s="568"/>
      <c r="E131" s="568"/>
      <c r="F131" s="568"/>
      <c r="G131" s="589"/>
      <c r="H131" s="589"/>
      <c r="I131" s="589"/>
      <c r="J131" s="589"/>
      <c r="K131" s="589"/>
      <c r="L131" s="589"/>
      <c r="M131" s="590"/>
      <c r="N131" s="1151"/>
      <c r="O131" s="1151"/>
      <c r="P131" s="262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IF(C2="——",ROUND(C50*D3/10000,0),ROUND(C50*D3/10000,0)-D2)</f>
        <v>#DIV/0!</v>
      </c>
      <c r="C2" s="2584"/>
      <c r="D2" s="1363" t="e">
        <f ca="1">SUMIF(INDIRECT("'"&amp;F2&amp;"'"&amp;"!A:A"),"承租人权益价值",INDIRECT("'"&amp;F2&amp;"'"&amp;"!c:c"))</f>
        <v>#REF!</v>
      </c>
      <c r="E2" s="2585" t="s">
        <v>2331</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 ca="1">IF(C2="——",C50,ROUND(B2*10000/D3,0))</f>
        <v>#DIV/0!</v>
      </c>
      <c r="C3" s="399" t="s">
        <v>2644</v>
      </c>
      <c r="D3" s="398">
        <f>IF(D1="",'数据-汇总表'!E3,SUMIF('数据-汇总表'!$C19:$C33,D1,'数据-汇总表'!$E19:$E33))</f>
        <v>3217.2100000000009</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95" t="s">
        <v>2651</v>
      </c>
      <c r="Q4" s="3296"/>
      <c r="R4" s="3290" t="s">
        <v>2647</v>
      </c>
      <c r="S4" s="3291"/>
      <c r="T4" s="3290" t="s">
        <v>2648</v>
      </c>
      <c r="U4" s="3291"/>
      <c r="V4" s="3299" t="s">
        <v>2649</v>
      </c>
      <c r="W4" s="3299"/>
      <c r="X4" s="2666"/>
      <c r="Y4" s="3290" t="s">
        <v>2651</v>
      </c>
      <c r="Z4" s="3291"/>
      <c r="AA4" s="3289" t="s">
        <v>2647</v>
      </c>
      <c r="AB4" s="3289" t="s">
        <v>2648</v>
      </c>
      <c r="AC4" s="3292" t="s">
        <v>2649</v>
      </c>
    </row>
    <row r="5" spans="1:29" ht="15">
      <c r="A5" s="403"/>
      <c r="B5" s="404"/>
      <c r="C5" s="3216" t="s">
        <v>2542</v>
      </c>
      <c r="D5" s="3217"/>
      <c r="E5" s="3214" t="s">
        <v>2543</v>
      </c>
      <c r="F5" s="3215"/>
      <c r="G5" s="3216" t="s">
        <v>2544</v>
      </c>
      <c r="H5" s="3217"/>
      <c r="I5" s="3216" t="s">
        <v>2545</v>
      </c>
      <c r="J5" s="3217"/>
      <c r="K5" s="608"/>
      <c r="L5" s="1128"/>
      <c r="M5" s="1129"/>
      <c r="N5" s="1129"/>
      <c r="O5" s="1129"/>
      <c r="P5" s="3297"/>
      <c r="Q5" s="3230"/>
      <c r="R5" s="3212"/>
      <c r="S5" s="3213"/>
      <c r="T5" s="3212"/>
      <c r="U5" s="3213"/>
      <c r="V5" s="3235"/>
      <c r="W5" s="3235"/>
      <c r="X5" s="1811"/>
      <c r="Y5" s="3212"/>
      <c r="Z5" s="3213"/>
      <c r="AA5" s="3206"/>
      <c r="AB5" s="3206"/>
      <c r="AC5" s="3293"/>
    </row>
    <row r="6" spans="1:29" ht="15.75" thickBot="1">
      <c r="A6" s="405"/>
      <c r="B6" s="406"/>
      <c r="C6" s="3218" t="s">
        <v>2546</v>
      </c>
      <c r="D6" s="3219"/>
      <c r="E6" s="3220" t="s">
        <v>2546</v>
      </c>
      <c r="F6" s="3221"/>
      <c r="G6" s="3218" t="s">
        <v>2546</v>
      </c>
      <c r="H6" s="3219"/>
      <c r="I6" s="3218" t="s">
        <v>2546</v>
      </c>
      <c r="J6" s="3219"/>
      <c r="K6" s="608" t="s">
        <v>2547</v>
      </c>
      <c r="L6" s="1128"/>
      <c r="M6" s="1129"/>
      <c r="N6" s="1129"/>
      <c r="O6" s="1129"/>
      <c r="P6" s="3298"/>
      <c r="Q6" s="3232"/>
      <c r="R6" s="3212"/>
      <c r="S6" s="3213"/>
      <c r="T6" s="3233"/>
      <c r="U6" s="3234"/>
      <c r="V6" s="3235"/>
      <c r="W6" s="3235"/>
      <c r="X6" s="1811"/>
      <c r="Y6" s="3233"/>
      <c r="Z6" s="3234"/>
      <c r="AA6" s="3207"/>
      <c r="AB6" s="3207"/>
      <c r="AC6" s="3294"/>
    </row>
    <row r="7" spans="1:29" s="116" customFormat="1" ht="15.75" thickBot="1">
      <c r="A7" s="407" t="s">
        <v>2548</v>
      </c>
      <c r="B7" s="408"/>
      <c r="C7" s="409">
        <f>'数据-取费表'!B2</f>
        <v>43185</v>
      </c>
      <c r="D7" s="410">
        <v>100</v>
      </c>
      <c r="E7" s="411"/>
      <c r="F7" s="412">
        <f>SUMIF(59:59,YEAR(E7)&amp;"-"&amp;MONTH(E7),60:60)</f>
        <v>0</v>
      </c>
      <c r="G7" s="411"/>
      <c r="H7" s="410">
        <f>SUMIF(59:59,YEAR(G7)&amp;"-"&amp;MONTH(G7),60:60)</f>
        <v>0</v>
      </c>
      <c r="I7" s="411"/>
      <c r="J7" s="410">
        <f>SUMIF(59:59,YEAR(I7)&amp;"-"&amp;MONTH(I7),60:60)</f>
        <v>0</v>
      </c>
      <c r="K7" s="609"/>
      <c r="L7" s="1130"/>
      <c r="M7" s="1131"/>
      <c r="N7" s="1131"/>
      <c r="O7" s="1131"/>
      <c r="P7" s="3300" t="s">
        <v>2549</v>
      </c>
      <c r="Q7" s="3236"/>
      <c r="R7" s="768" t="s">
        <v>17</v>
      </c>
      <c r="S7" s="769">
        <f t="shared" ref="S7:S15" si="0">F7</f>
        <v>0</v>
      </c>
      <c r="T7" s="768" t="s">
        <v>17</v>
      </c>
      <c r="U7" s="769">
        <f t="shared" ref="U7:U15" si="1">H7</f>
        <v>0</v>
      </c>
      <c r="V7" s="768" t="s">
        <v>17</v>
      </c>
      <c r="W7" s="769">
        <f t="shared" ref="W7:W15" si="2">J7</f>
        <v>0</v>
      </c>
      <c r="X7" s="770"/>
      <c r="Y7" s="3208" t="s">
        <v>2549</v>
      </c>
      <c r="Z7" s="3209"/>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09"/>
      <c r="L8" s="1130"/>
      <c r="M8" s="1131"/>
      <c r="N8" s="1131"/>
      <c r="O8" s="1131"/>
      <c r="P8" s="3300" t="s">
        <v>2552</v>
      </c>
      <c r="Q8" s="3209"/>
      <c r="R8" s="768" t="s">
        <v>17</v>
      </c>
      <c r="S8" s="769">
        <f t="shared" si="0"/>
        <v>0</v>
      </c>
      <c r="T8" s="768" t="s">
        <v>17</v>
      </c>
      <c r="U8" s="769">
        <f t="shared" si="1"/>
        <v>0</v>
      </c>
      <c r="V8" s="768" t="s">
        <v>17</v>
      </c>
      <c r="W8" s="769">
        <f t="shared" si="2"/>
        <v>0</v>
      </c>
      <c r="X8" s="770"/>
      <c r="Y8" s="3208" t="s">
        <v>2552</v>
      </c>
      <c r="Z8" s="3209"/>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09"/>
      <c r="L9" s="1130"/>
      <c r="M9" s="1131"/>
      <c r="N9" s="1131"/>
      <c r="O9" s="1131"/>
      <c r="P9" s="3246"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2667">
        <f t="shared" si="5"/>
        <v>1</v>
      </c>
    </row>
    <row r="10" spans="1:29" s="425" customFormat="1" ht="27">
      <c r="A10" s="419"/>
      <c r="B10" s="420" t="s">
        <v>2557</v>
      </c>
      <c r="C10" s="421"/>
      <c r="D10" s="135">
        <v>100</v>
      </c>
      <c r="E10" s="421"/>
      <c r="F10" s="135">
        <f>SUMIF(66:66,E10,67:67)-SUMIF(66:66,C10,67:67)+100</f>
        <v>100</v>
      </c>
      <c r="G10" s="422"/>
      <c r="H10" s="135">
        <f>SUMIF(66:66,G10,67:67)-SUMIF(66:66,C10,67:67)+100</f>
        <v>100</v>
      </c>
      <c r="I10" s="421"/>
      <c r="J10" s="135">
        <f>SUMIF(66:66,I10,67:67)-SUMIF(66:66,C10,67:67)+100</f>
        <v>100</v>
      </c>
      <c r="K10" s="610"/>
      <c r="L10" s="1133"/>
      <c r="M10" s="1134"/>
      <c r="N10" s="1134"/>
      <c r="O10" s="1134"/>
      <c r="P10" s="3246"/>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2667">
        <f t="shared" si="5"/>
        <v>1</v>
      </c>
    </row>
    <row r="11" spans="1:29" ht="15">
      <c r="A11" s="426"/>
      <c r="B11" s="420" t="s">
        <v>2558</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6"/>
      <c r="M11" s="1129"/>
      <c r="N11" s="1129"/>
      <c r="O11" s="1129"/>
      <c r="P11" s="3246"/>
      <c r="Q11" s="1793" t="str">
        <f t="shared" si="6"/>
        <v>容积率</v>
      </c>
      <c r="R11" s="768" t="s">
        <v>17</v>
      </c>
      <c r="S11" s="769" t="e">
        <f t="shared" si="0"/>
        <v>#N/A</v>
      </c>
      <c r="T11" s="768" t="s">
        <v>17</v>
      </c>
      <c r="U11" s="769" t="e">
        <f t="shared" si="1"/>
        <v>#N/A</v>
      </c>
      <c r="V11" s="768" t="s">
        <v>17</v>
      </c>
      <c r="W11" s="769" t="e">
        <f t="shared" si="2"/>
        <v>#N/A</v>
      </c>
      <c r="X11" s="770"/>
      <c r="Y11" s="3077"/>
      <c r="Z11" s="54" t="str">
        <f t="shared" si="7"/>
        <v>容积率</v>
      </c>
      <c r="AA11" s="771" t="e">
        <f t="shared" si="3"/>
        <v>#N/A</v>
      </c>
      <c r="AB11" s="771" t="e">
        <f t="shared" si="4"/>
        <v>#N/A</v>
      </c>
      <c r="AC11" s="2667" t="e">
        <f t="shared" si="5"/>
        <v>#N/A</v>
      </c>
    </row>
    <row r="12" spans="1:29" s="116" customFormat="1" ht="15">
      <c r="A12" s="429"/>
      <c r="B12" s="2597">
        <v>111</v>
      </c>
      <c r="C12" s="430"/>
      <c r="D12" s="431">
        <v>100</v>
      </c>
      <c r="E12" s="430"/>
      <c r="F12" s="135">
        <f>SUMIF(71:71,E12,72:72)-SUMIF(71:71,C12,72:72)+100</f>
        <v>100</v>
      </c>
      <c r="G12" s="2668"/>
      <c r="H12" s="135">
        <f>SUMIF(71:71,G12,72:72)-SUMIF(71:71,C12,72:72)+100</f>
        <v>100</v>
      </c>
      <c r="I12" s="430"/>
      <c r="J12" s="135">
        <f>SUMIF(71:71,I12,72:72)-SUMIF(71:71,C12,72:72)+100</f>
        <v>100</v>
      </c>
      <c r="K12" s="611"/>
      <c r="L12" s="1130"/>
      <c r="M12" s="1131"/>
      <c r="N12" s="1131"/>
      <c r="O12" s="1131"/>
      <c r="P12" s="3246"/>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2667">
        <f>D12/J12</f>
        <v>1</v>
      </c>
    </row>
    <row r="13" spans="1:29" ht="15">
      <c r="A13" s="426"/>
      <c r="B13" s="2597">
        <v>111</v>
      </c>
      <c r="C13" s="432"/>
      <c r="D13" s="433">
        <v>100</v>
      </c>
      <c r="E13" s="430"/>
      <c r="F13" s="135">
        <f>SUMIF(73:73,E13,74:74)-SUMIF(73:73,C13,74:74)+100</f>
        <v>100</v>
      </c>
      <c r="G13" s="2668"/>
      <c r="H13" s="433">
        <f>SUMIF(73:73,G13,74:74)-SUMIF(73:73,C13,74:74)+100</f>
        <v>100</v>
      </c>
      <c r="I13" s="430"/>
      <c r="J13" s="433">
        <f>SUMIF(73:73,I13,74:74)-SUMIF(73:73,C13,74:74)+100</f>
        <v>100</v>
      </c>
      <c r="K13" s="611"/>
      <c r="L13" s="1138"/>
      <c r="M13" s="1129"/>
      <c r="N13" s="1129"/>
      <c r="O13" s="1129"/>
      <c r="P13" s="3246"/>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2667">
        <f t="shared" si="5"/>
        <v>1</v>
      </c>
    </row>
    <row r="14" spans="1:29" ht="15.75" thickBot="1">
      <c r="A14" s="434"/>
      <c r="B14" s="2599">
        <v>111</v>
      </c>
      <c r="C14" s="435"/>
      <c r="D14" s="436">
        <v>100</v>
      </c>
      <c r="E14" s="626"/>
      <c r="F14" s="436">
        <f>SUMIF(75:75,E14,76:76)-SUMIF(75:75,C14,76:76)+100</f>
        <v>100</v>
      </c>
      <c r="G14" s="2668"/>
      <c r="H14" s="436">
        <f>SUMIF(75:75,G14,76:76)-SUMIF(75:75,C14,76:76)+100</f>
        <v>100</v>
      </c>
      <c r="I14" s="430"/>
      <c r="J14" s="436">
        <f>SUMIF(75:75,I14,76:76)-SUMIF(75:75,C14,76:76)+100</f>
        <v>100</v>
      </c>
      <c r="K14" s="611"/>
      <c r="L14" s="1138"/>
      <c r="M14" s="1129"/>
      <c r="N14" s="1129"/>
      <c r="O14" s="1129"/>
      <c r="P14" s="3246"/>
      <c r="Q14" s="1793">
        <f t="shared" si="6"/>
        <v>111</v>
      </c>
      <c r="R14" s="768" t="s">
        <v>17</v>
      </c>
      <c r="S14" s="769">
        <f t="shared" si="0"/>
        <v>100</v>
      </c>
      <c r="T14" s="768" t="s">
        <v>17</v>
      </c>
      <c r="U14" s="769">
        <f t="shared" si="1"/>
        <v>100</v>
      </c>
      <c r="V14" s="768" t="s">
        <v>17</v>
      </c>
      <c r="W14" s="769">
        <f t="shared" si="2"/>
        <v>100</v>
      </c>
      <c r="X14" s="770"/>
      <c r="Y14" s="3077"/>
      <c r="Z14" s="54">
        <f t="shared" si="7"/>
        <v>111</v>
      </c>
      <c r="AA14" s="771">
        <f t="shared" si="3"/>
        <v>1</v>
      </c>
      <c r="AB14" s="771">
        <f t="shared" si="4"/>
        <v>1</v>
      </c>
      <c r="AC14" s="2667">
        <f t="shared" si="5"/>
        <v>1</v>
      </c>
    </row>
    <row r="15" spans="1:29" ht="71.25">
      <c r="A15" s="438" t="s">
        <v>2559</v>
      </c>
      <c r="B15" s="627" t="s">
        <v>2687</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60" t="s">
        <v>2560</v>
      </c>
      <c r="Q15" s="1808" t="str">
        <f t="shared" si="6"/>
        <v>办公集聚程度</v>
      </c>
      <c r="R15" s="772" t="s">
        <v>17</v>
      </c>
      <c r="S15" s="773">
        <f t="shared" si="0"/>
        <v>100</v>
      </c>
      <c r="T15" s="772" t="s">
        <v>17</v>
      </c>
      <c r="U15" s="773">
        <f t="shared" si="1"/>
        <v>100</v>
      </c>
      <c r="V15" s="772" t="s">
        <v>17</v>
      </c>
      <c r="W15" s="773">
        <f t="shared" si="2"/>
        <v>100</v>
      </c>
      <c r="X15" s="1811"/>
      <c r="Y15" s="3237" t="s">
        <v>2560</v>
      </c>
      <c r="Z15" s="1812" t="str">
        <f t="shared" si="7"/>
        <v>办公集聚程度</v>
      </c>
      <c r="AA15" s="1809">
        <f t="shared" si="3"/>
        <v>1</v>
      </c>
      <c r="AB15" s="1809">
        <f t="shared" si="4"/>
        <v>1</v>
      </c>
      <c r="AC15" s="2670">
        <f t="shared" si="5"/>
        <v>1</v>
      </c>
    </row>
    <row r="16" spans="1:29" ht="15">
      <c r="A16" s="426"/>
      <c r="B16" s="628"/>
      <c r="C16" s="2608"/>
      <c r="D16" s="446"/>
      <c r="E16" s="445"/>
      <c r="F16" s="446"/>
      <c r="G16" s="2608"/>
      <c r="H16" s="448"/>
      <c r="I16" s="445"/>
      <c r="J16" s="446"/>
      <c r="K16" s="613"/>
      <c r="L16" s="1138"/>
      <c r="M16" s="1129"/>
      <c r="N16" s="1129"/>
      <c r="O16" s="1129"/>
      <c r="P16" s="3261"/>
      <c r="Q16" s="1808"/>
      <c r="R16" s="772"/>
      <c r="S16" s="773"/>
      <c r="T16" s="772"/>
      <c r="U16" s="773"/>
      <c r="V16" s="772"/>
      <c r="W16" s="773"/>
      <c r="X16" s="1811"/>
      <c r="Y16" s="3238"/>
      <c r="Z16" s="1812"/>
      <c r="AA16" s="1809">
        <v>1</v>
      </c>
      <c r="AB16" s="1809">
        <v>1</v>
      </c>
      <c r="AC16" s="2670">
        <v>1</v>
      </c>
    </row>
    <row r="17" spans="1:29" ht="71.25">
      <c r="A17" s="426"/>
      <c r="B17" s="629" t="s">
        <v>2098</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61"/>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2670">
        <f t="shared" si="5"/>
        <v>1</v>
      </c>
    </row>
    <row r="18" spans="1:29" ht="15">
      <c r="A18" s="426"/>
      <c r="B18" s="630"/>
      <c r="C18" s="2672"/>
      <c r="D18" s="448"/>
      <c r="E18" s="2606"/>
      <c r="F18" s="448"/>
      <c r="G18" s="2607"/>
      <c r="H18" s="446"/>
      <c r="I18" s="2607"/>
      <c r="J18" s="446"/>
      <c r="K18" s="613"/>
      <c r="L18" s="1138"/>
      <c r="M18" s="1129"/>
      <c r="N18" s="1129"/>
      <c r="O18" s="1129"/>
      <c r="P18" s="3261"/>
      <c r="Q18" s="1808"/>
      <c r="R18" s="772"/>
      <c r="S18" s="773"/>
      <c r="T18" s="772"/>
      <c r="U18" s="773"/>
      <c r="V18" s="772"/>
      <c r="W18" s="773"/>
      <c r="X18" s="1811"/>
      <c r="Y18" s="3238"/>
      <c r="Z18" s="1812"/>
      <c r="AA18" s="1809">
        <v>1</v>
      </c>
      <c r="AB18" s="1809">
        <v>1</v>
      </c>
      <c r="AC18" s="2670">
        <v>1</v>
      </c>
    </row>
    <row r="19" spans="1:29" ht="42.75">
      <c r="A19" s="426"/>
      <c r="B19" s="629" t="s">
        <v>2688</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61"/>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2670">
        <f t="shared" si="5"/>
        <v>1</v>
      </c>
    </row>
    <row r="20" spans="1:29" ht="15">
      <c r="A20" s="426"/>
      <c r="B20" s="630"/>
      <c r="C20" s="2608"/>
      <c r="D20" s="446"/>
      <c r="E20" s="2601"/>
      <c r="F20" s="446"/>
      <c r="G20" s="2602"/>
      <c r="H20" s="446"/>
      <c r="I20" s="2602"/>
      <c r="J20" s="446"/>
      <c r="K20" s="613"/>
      <c r="L20" s="1138"/>
      <c r="M20" s="1129"/>
      <c r="N20" s="1129"/>
      <c r="O20" s="1129"/>
      <c r="P20" s="3261"/>
      <c r="Q20" s="1808"/>
      <c r="R20" s="772"/>
      <c r="S20" s="773"/>
      <c r="T20" s="772"/>
      <c r="U20" s="773"/>
      <c r="V20" s="772"/>
      <c r="W20" s="773"/>
      <c r="X20" s="1811"/>
      <c r="Y20" s="3238"/>
      <c r="Z20" s="1812"/>
      <c r="AA20" s="1809">
        <v>1</v>
      </c>
      <c r="AB20" s="1809">
        <v>1</v>
      </c>
      <c r="AC20" s="2670">
        <v>1</v>
      </c>
    </row>
    <row r="21" spans="1:29" ht="28.5">
      <c r="A21" s="426"/>
      <c r="B21" s="631" t="s">
        <v>2689</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61"/>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2670">
        <f t="shared" ref="AC21" si="10">D21/J21</f>
        <v>1</v>
      </c>
    </row>
    <row r="22" spans="1:29" ht="15">
      <c r="A22" s="426"/>
      <c r="B22" s="631"/>
      <c r="C22" s="2672"/>
      <c r="D22" s="446"/>
      <c r="E22" s="445"/>
      <c r="F22" s="446"/>
      <c r="G22" s="2608"/>
      <c r="H22" s="446"/>
      <c r="I22" s="2608"/>
      <c r="J22" s="446"/>
      <c r="K22" s="1381"/>
      <c r="L22" s="1138"/>
      <c r="M22" s="1129"/>
      <c r="N22" s="1129"/>
      <c r="O22" s="1129"/>
      <c r="P22" s="3261"/>
      <c r="Q22" s="1808"/>
      <c r="R22" s="772"/>
      <c r="S22" s="773"/>
      <c r="T22" s="772"/>
      <c r="U22" s="773"/>
      <c r="V22" s="772"/>
      <c r="W22" s="773"/>
      <c r="X22" s="1811"/>
      <c r="Y22" s="3238"/>
      <c r="Z22" s="1812"/>
      <c r="AA22" s="1809">
        <v>1</v>
      </c>
      <c r="AB22" s="1809">
        <v>1</v>
      </c>
      <c r="AC22" s="2670">
        <v>1</v>
      </c>
    </row>
    <row r="23" spans="1:29" ht="42.75">
      <c r="A23" s="426"/>
      <c r="B23" s="629" t="s">
        <v>2690</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61"/>
      <c r="Q23" s="1808" t="str">
        <f>B23</f>
        <v>环境质量</v>
      </c>
      <c r="R23" s="772" t="s">
        <v>17</v>
      </c>
      <c r="S23" s="773">
        <f>F23</f>
        <v>100</v>
      </c>
      <c r="T23" s="772" t="s">
        <v>17</v>
      </c>
      <c r="U23" s="773">
        <f>H23</f>
        <v>100</v>
      </c>
      <c r="V23" s="772" t="s">
        <v>17</v>
      </c>
      <c r="W23" s="773">
        <f>J23</f>
        <v>100</v>
      </c>
      <c r="X23" s="1811"/>
      <c r="Y23" s="3238"/>
      <c r="Z23" s="1812" t="str">
        <f>Q23</f>
        <v>环境质量</v>
      </c>
      <c r="AA23" s="1809">
        <f t="shared" si="3"/>
        <v>1</v>
      </c>
      <c r="AB23" s="1809">
        <f t="shared" si="4"/>
        <v>1</v>
      </c>
      <c r="AC23" s="2670">
        <f t="shared" si="5"/>
        <v>1</v>
      </c>
    </row>
    <row r="24" spans="1:29" ht="15">
      <c r="A24" s="426"/>
      <c r="B24" s="631"/>
      <c r="C24" s="2608"/>
      <c r="D24" s="446"/>
      <c r="E24" s="2601"/>
      <c r="F24" s="446"/>
      <c r="G24" s="2602"/>
      <c r="H24" s="446"/>
      <c r="I24" s="2602"/>
      <c r="J24" s="446"/>
      <c r="K24" s="613"/>
      <c r="L24" s="1138"/>
      <c r="M24" s="1129"/>
      <c r="N24" s="1129"/>
      <c r="O24" s="1129"/>
      <c r="P24" s="3261"/>
      <c r="Q24" s="1808"/>
      <c r="R24" s="772"/>
      <c r="S24" s="773"/>
      <c r="T24" s="772"/>
      <c r="U24" s="773"/>
      <c r="V24" s="772"/>
      <c r="W24" s="773"/>
      <c r="X24" s="1811"/>
      <c r="Y24" s="3238"/>
      <c r="Z24" s="1812"/>
      <c r="AA24" s="1809">
        <v>1</v>
      </c>
      <c r="AB24" s="1809">
        <v>1</v>
      </c>
      <c r="AC24" s="2670">
        <v>1</v>
      </c>
    </row>
    <row r="25" spans="1:29" ht="27">
      <c r="A25" s="403"/>
      <c r="B25" s="629" t="s">
        <v>2691</v>
      </c>
      <c r="C25" s="2612"/>
      <c r="D25" s="433">
        <v>100</v>
      </c>
      <c r="E25" s="432"/>
      <c r="F25" s="433">
        <f>SUMIF(87:87,E26,88:88)-SUMIF(87:87,C26,88:88)+100</f>
        <v>100</v>
      </c>
      <c r="G25" s="2612"/>
      <c r="H25" s="433">
        <f>SUMIF(87:87,G26,88:88)-SUMIF(87:87,C26,88:88)+100</f>
        <v>100</v>
      </c>
      <c r="I25" s="432"/>
      <c r="J25" s="433">
        <f>SUMIF(87:87,I26,88:88)-SUMIF(87:87,C26,88:88)+100</f>
        <v>100</v>
      </c>
      <c r="K25" s="612"/>
      <c r="L25" s="1138"/>
      <c r="M25" s="1129"/>
      <c r="N25" s="1129"/>
      <c r="O25" s="1129"/>
      <c r="P25" s="3261"/>
      <c r="Q25" s="1808" t="str">
        <f>B25</f>
        <v>毗邻道路的类型与等级</v>
      </c>
      <c r="R25" s="772" t="s">
        <v>17</v>
      </c>
      <c r="S25" s="773">
        <f>F25</f>
        <v>100</v>
      </c>
      <c r="T25" s="772" t="s">
        <v>17</v>
      </c>
      <c r="U25" s="773">
        <f>H25</f>
        <v>100</v>
      </c>
      <c r="V25" s="772" t="s">
        <v>17</v>
      </c>
      <c r="W25" s="773">
        <f>J25</f>
        <v>100</v>
      </c>
      <c r="X25" s="1811"/>
      <c r="Y25" s="3238"/>
      <c r="Z25" s="1812" t="str">
        <f>Q25</f>
        <v>毗邻道路的类型与等级</v>
      </c>
      <c r="AA25" s="1809">
        <f t="shared" si="3"/>
        <v>1</v>
      </c>
      <c r="AB25" s="1809">
        <f t="shared" si="4"/>
        <v>1</v>
      </c>
      <c r="AC25" s="2670">
        <f t="shared" si="5"/>
        <v>1</v>
      </c>
    </row>
    <row r="26" spans="1:29" ht="15">
      <c r="A26" s="403"/>
      <c r="B26" s="630"/>
      <c r="C26" s="632"/>
      <c r="D26" s="433"/>
      <c r="E26" s="614"/>
      <c r="F26" s="433"/>
      <c r="G26" s="632"/>
      <c r="H26" s="433"/>
      <c r="I26" s="614"/>
      <c r="J26" s="433"/>
      <c r="K26" s="613"/>
      <c r="L26" s="1138"/>
      <c r="M26" s="1129"/>
      <c r="N26" s="1129"/>
      <c r="O26" s="1129"/>
      <c r="P26" s="3261"/>
      <c r="Q26" s="1808"/>
      <c r="R26" s="772"/>
      <c r="S26" s="773"/>
      <c r="T26" s="772"/>
      <c r="U26" s="773"/>
      <c r="V26" s="772"/>
      <c r="W26" s="773"/>
      <c r="X26" s="1811"/>
      <c r="Y26" s="3238"/>
      <c r="Z26" s="1812"/>
      <c r="AA26" s="1809">
        <v>1</v>
      </c>
      <c r="AB26" s="1809">
        <v>1</v>
      </c>
      <c r="AC26" s="2670">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61"/>
      <c r="Q27" s="1808" t="str">
        <f t="shared" ref="Q27:Q47" si="11">B27</f>
        <v>楼层</v>
      </c>
      <c r="R27" s="772" t="s">
        <v>17</v>
      </c>
      <c r="S27" s="773">
        <f>F27</f>
        <v>100</v>
      </c>
      <c r="T27" s="772" t="s">
        <v>17</v>
      </c>
      <c r="U27" s="773">
        <f>H27</f>
        <v>100</v>
      </c>
      <c r="V27" s="772" t="s">
        <v>17</v>
      </c>
      <c r="W27" s="773">
        <f>J27</f>
        <v>100</v>
      </c>
      <c r="X27" s="1811"/>
      <c r="Y27" s="3238"/>
      <c r="Z27" s="1812" t="str">
        <f>Q27</f>
        <v>楼层</v>
      </c>
      <c r="AA27" s="1809">
        <f t="shared" si="3"/>
        <v>1</v>
      </c>
      <c r="AB27" s="1809">
        <f t="shared" si="4"/>
        <v>1</v>
      </c>
      <c r="AC27" s="2670">
        <f t="shared" si="5"/>
        <v>1</v>
      </c>
    </row>
    <row r="28" spans="1:29" s="116" customFormat="1" ht="15">
      <c r="A28" s="429"/>
      <c r="B28" s="629" t="s">
        <v>2692</v>
      </c>
      <c r="C28" s="2673"/>
      <c r="D28" s="460">
        <v>100</v>
      </c>
      <c r="E28" s="2661"/>
      <c r="F28" s="460">
        <f>SUMIF(91:91,E28,92:92)-SUMIF(91:91,C28,92:92)+100</f>
        <v>100</v>
      </c>
      <c r="G28" s="2673"/>
      <c r="H28" s="460">
        <f>SUMIF(91:91,G28,92:92)-SUMIF(91:91,C28,92:92)+100</f>
        <v>100</v>
      </c>
      <c r="I28" s="2661"/>
      <c r="J28" s="460">
        <f>SUMIF(91:91,I28,92:92)-SUMIF(91:91,C28,92:92)+100</f>
        <v>100</v>
      </c>
      <c r="K28" s="610"/>
      <c r="L28" s="1130"/>
      <c r="M28" s="1131"/>
      <c r="N28" s="1131"/>
      <c r="O28" s="1131"/>
      <c r="P28" s="3261"/>
      <c r="Q28" s="1793" t="str">
        <f t="shared" si="11"/>
        <v>朝向</v>
      </c>
      <c r="R28" s="768" t="s">
        <v>17</v>
      </c>
      <c r="S28" s="769">
        <f>F28</f>
        <v>100</v>
      </c>
      <c r="T28" s="768" t="s">
        <v>17</v>
      </c>
      <c r="U28" s="769">
        <f>H28</f>
        <v>100</v>
      </c>
      <c r="V28" s="768" t="s">
        <v>17</v>
      </c>
      <c r="W28" s="769">
        <f>J28</f>
        <v>100</v>
      </c>
      <c r="X28" s="770"/>
      <c r="Y28" s="3238"/>
      <c r="Z28" s="54" t="str">
        <f>Q28</f>
        <v>朝向</v>
      </c>
      <c r="AA28" s="1809">
        <f>D28/F28</f>
        <v>1</v>
      </c>
      <c r="AB28" s="1809">
        <f>D28/H28</f>
        <v>1</v>
      </c>
      <c r="AC28" s="2670">
        <f>D28/J28</f>
        <v>1</v>
      </c>
    </row>
    <row r="29" spans="1:29" ht="15">
      <c r="A29" s="426"/>
      <c r="B29" s="2674">
        <v>111</v>
      </c>
      <c r="C29" s="2612"/>
      <c r="D29" s="433">
        <v>100</v>
      </c>
      <c r="E29" s="430"/>
      <c r="F29" s="433">
        <f>SUMIF(93:93,E29,94:94)-SUMIF(93:93,C29,94:94)+100</f>
        <v>100</v>
      </c>
      <c r="G29" s="2668"/>
      <c r="H29" s="433">
        <f>SUMIF(93:93,G29,94:94)-SUMIF(93:93,C29,94:94)+100</f>
        <v>100</v>
      </c>
      <c r="I29" s="430"/>
      <c r="J29" s="433">
        <f>SUMIF(93:93,I29,94:94)-SUMIF(93:93,C29,94:94)+100</f>
        <v>100</v>
      </c>
      <c r="K29" s="611"/>
      <c r="L29" s="1138"/>
      <c r="M29" s="1129"/>
      <c r="N29" s="1129"/>
      <c r="O29" s="1129"/>
      <c r="P29" s="3261"/>
      <c r="Q29" s="1808">
        <f t="shared" si="11"/>
        <v>111</v>
      </c>
      <c r="R29" s="772" t="s">
        <v>17</v>
      </c>
      <c r="S29" s="773">
        <f t="shared" ref="S29:S47" si="12">F29</f>
        <v>100</v>
      </c>
      <c r="T29" s="772" t="s">
        <v>17</v>
      </c>
      <c r="U29" s="773">
        <f t="shared" ref="U29:U47" si="13">H29</f>
        <v>100</v>
      </c>
      <c r="V29" s="772" t="s">
        <v>17</v>
      </c>
      <c r="W29" s="773">
        <f t="shared" ref="W29:W47" si="14">J29</f>
        <v>100</v>
      </c>
      <c r="X29" s="1811"/>
      <c r="Y29" s="3238"/>
      <c r="Z29" s="1812">
        <f t="shared" ref="Z29:Z47" si="15">Q29</f>
        <v>111</v>
      </c>
      <c r="AA29" s="1809">
        <f t="shared" si="3"/>
        <v>1</v>
      </c>
      <c r="AB29" s="1809">
        <f t="shared" si="4"/>
        <v>1</v>
      </c>
      <c r="AC29" s="2670">
        <f t="shared" si="5"/>
        <v>1</v>
      </c>
    </row>
    <row r="30" spans="1:29" ht="15">
      <c r="A30" s="426"/>
      <c r="B30" s="2674">
        <v>111</v>
      </c>
      <c r="C30" s="2612"/>
      <c r="D30" s="433">
        <v>100</v>
      </c>
      <c r="E30" s="430"/>
      <c r="F30" s="433">
        <f>SUMIF(95:95,E30,96:96)-SUMIF(95:95,C30,96:96)+100</f>
        <v>100</v>
      </c>
      <c r="G30" s="2668"/>
      <c r="H30" s="433">
        <f>SUMIF(95:95,G30,96:96)-SUMIF(95:95,C30,96:96)+100</f>
        <v>100</v>
      </c>
      <c r="I30" s="430"/>
      <c r="J30" s="433">
        <f>SUMIF(95:95,I30,96:96)-SUMIF(95:95,C30,96:96)+100</f>
        <v>100</v>
      </c>
      <c r="K30" s="611"/>
      <c r="L30" s="1138"/>
      <c r="M30" s="1129"/>
      <c r="N30" s="1129"/>
      <c r="O30" s="1129"/>
      <c r="P30" s="3261"/>
      <c r="Q30" s="1808">
        <f t="shared" si="11"/>
        <v>111</v>
      </c>
      <c r="R30" s="772" t="s">
        <v>17</v>
      </c>
      <c r="S30" s="773">
        <f t="shared" si="12"/>
        <v>100</v>
      </c>
      <c r="T30" s="772" t="s">
        <v>17</v>
      </c>
      <c r="U30" s="773">
        <f t="shared" si="13"/>
        <v>100</v>
      </c>
      <c r="V30" s="772" t="s">
        <v>17</v>
      </c>
      <c r="W30" s="773">
        <f t="shared" si="14"/>
        <v>100</v>
      </c>
      <c r="X30" s="1811"/>
      <c r="Y30" s="3238"/>
      <c r="Z30" s="1812">
        <f t="shared" si="15"/>
        <v>111</v>
      </c>
      <c r="AA30" s="1809">
        <f t="shared" si="3"/>
        <v>1</v>
      </c>
      <c r="AB30" s="1809">
        <f t="shared" si="4"/>
        <v>1</v>
      </c>
      <c r="AC30" s="2670">
        <f t="shared" si="5"/>
        <v>1</v>
      </c>
    </row>
    <row r="31" spans="1:29" ht="15">
      <c r="A31" s="426"/>
      <c r="B31" s="2674">
        <v>111</v>
      </c>
      <c r="C31" s="2612"/>
      <c r="D31" s="433">
        <v>100</v>
      </c>
      <c r="E31" s="430"/>
      <c r="F31" s="433">
        <f>SUMIF(97:97,E31,98:98)-SUMIF(97:97,C31,98:98)+100</f>
        <v>100</v>
      </c>
      <c r="G31" s="2668"/>
      <c r="H31" s="433">
        <f>SUMIF(97:97,G31,98:98)-SUMIF(97:97,C31,98:98)+100</f>
        <v>100</v>
      </c>
      <c r="I31" s="430"/>
      <c r="J31" s="433">
        <f>SUMIF(97:97,I31,98:98)-SUMIF(97:97,C31,98:98)+100</f>
        <v>100</v>
      </c>
      <c r="K31" s="611"/>
      <c r="L31" s="1138"/>
      <c r="M31" s="1129"/>
      <c r="N31" s="1129"/>
      <c r="O31" s="1129"/>
      <c r="P31" s="3261"/>
      <c r="Q31" s="1808">
        <f t="shared" si="11"/>
        <v>111</v>
      </c>
      <c r="R31" s="772" t="s">
        <v>17</v>
      </c>
      <c r="S31" s="773">
        <f t="shared" si="12"/>
        <v>100</v>
      </c>
      <c r="T31" s="772" t="s">
        <v>17</v>
      </c>
      <c r="U31" s="773">
        <f t="shared" si="13"/>
        <v>100</v>
      </c>
      <c r="V31" s="772" t="s">
        <v>17</v>
      </c>
      <c r="W31" s="773">
        <f t="shared" si="14"/>
        <v>100</v>
      </c>
      <c r="X31" s="1811"/>
      <c r="Y31" s="3238"/>
      <c r="Z31" s="1812">
        <f t="shared" si="15"/>
        <v>111</v>
      </c>
      <c r="AA31" s="1809">
        <f t="shared" si="3"/>
        <v>1</v>
      </c>
      <c r="AB31" s="1809">
        <f t="shared" si="4"/>
        <v>1</v>
      </c>
      <c r="AC31" s="2670">
        <f t="shared" si="5"/>
        <v>1</v>
      </c>
    </row>
    <row r="32" spans="1:29" ht="15.75" thickBot="1">
      <c r="A32" s="434"/>
      <c r="B32" s="633">
        <v>111</v>
      </c>
      <c r="C32" s="2613"/>
      <c r="D32" s="436">
        <v>100</v>
      </c>
      <c r="E32" s="626"/>
      <c r="F32" s="436">
        <f>SUMIF(99:99,E32,100:100)-SUMIF(99:99,C32,100:100)+100</f>
        <v>100</v>
      </c>
      <c r="G32" s="2668"/>
      <c r="H32" s="436">
        <f>SUMIF(99:99,G32,100:100)-SUMIF(99:99,C32,100:100)+100</f>
        <v>100</v>
      </c>
      <c r="I32" s="430"/>
      <c r="J32" s="436">
        <f>SUMIF(99:99,I32,100:100)-SUMIF(99:99,C32,100:100)+100</f>
        <v>100</v>
      </c>
      <c r="K32" s="611"/>
      <c r="L32" s="1138"/>
      <c r="M32" s="1129"/>
      <c r="N32" s="1129"/>
      <c r="O32" s="1129"/>
      <c r="P32" s="3261"/>
      <c r="Q32" s="1808">
        <f t="shared" si="11"/>
        <v>111</v>
      </c>
      <c r="R32" s="772" t="s">
        <v>17</v>
      </c>
      <c r="S32" s="773">
        <f t="shared" si="12"/>
        <v>100</v>
      </c>
      <c r="T32" s="772" t="s">
        <v>17</v>
      </c>
      <c r="U32" s="773">
        <f t="shared" si="13"/>
        <v>100</v>
      </c>
      <c r="V32" s="772" t="s">
        <v>17</v>
      </c>
      <c r="W32" s="773">
        <f t="shared" si="14"/>
        <v>100</v>
      </c>
      <c r="X32" s="1811"/>
      <c r="Y32" s="3238"/>
      <c r="Z32" s="1812">
        <f t="shared" si="15"/>
        <v>111</v>
      </c>
      <c r="AA32" s="1809">
        <f t="shared" si="3"/>
        <v>1</v>
      </c>
      <c r="AB32" s="1809">
        <f t="shared" si="4"/>
        <v>1</v>
      </c>
      <c r="AC32" s="2670">
        <f t="shared" si="5"/>
        <v>1</v>
      </c>
    </row>
    <row r="33" spans="1:29" ht="15">
      <c r="A33" s="438" t="s">
        <v>2563</v>
      </c>
      <c r="B33" s="70" t="s">
        <v>2693</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8"/>
      <c r="M33" s="1129"/>
      <c r="N33" s="1129"/>
      <c r="O33" s="1129"/>
      <c r="P33" s="3256" t="s">
        <v>2565</v>
      </c>
      <c r="Q33" s="1808" t="str">
        <f t="shared" si="11"/>
        <v>建筑类型</v>
      </c>
      <c r="R33" s="772" t="s">
        <v>17</v>
      </c>
      <c r="S33" s="773">
        <f t="shared" si="12"/>
        <v>100</v>
      </c>
      <c r="T33" s="772" t="s">
        <v>17</v>
      </c>
      <c r="U33" s="773">
        <f t="shared" si="13"/>
        <v>100</v>
      </c>
      <c r="V33" s="772" t="s">
        <v>17</v>
      </c>
      <c r="W33" s="773">
        <f t="shared" si="14"/>
        <v>100</v>
      </c>
      <c r="X33" s="1811"/>
      <c r="Y33" s="3240" t="s">
        <v>2565</v>
      </c>
      <c r="Z33" s="1812" t="str">
        <f t="shared" si="15"/>
        <v>建筑类型</v>
      </c>
      <c r="AA33" s="1809">
        <f t="shared" si="3"/>
        <v>1</v>
      </c>
      <c r="AB33" s="1809">
        <f t="shared" si="4"/>
        <v>1</v>
      </c>
      <c r="AC33" s="2670">
        <f t="shared" si="5"/>
        <v>1</v>
      </c>
    </row>
    <row r="34" spans="1:29" s="469" customFormat="1" ht="15">
      <c r="A34" s="466"/>
      <c r="B34" s="420" t="s">
        <v>2566</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6"/>
      <c r="M34" s="1139"/>
      <c r="N34" s="1139"/>
      <c r="O34" s="1139"/>
      <c r="P34" s="3257"/>
      <c r="Q34" s="774" t="str">
        <f t="shared" si="11"/>
        <v>项目建筑规模</v>
      </c>
      <c r="R34" s="775" t="s">
        <v>17</v>
      </c>
      <c r="S34" s="776" t="e">
        <f t="shared" si="12"/>
        <v>#N/A</v>
      </c>
      <c r="T34" s="775" t="s">
        <v>17</v>
      </c>
      <c r="U34" s="776" t="e">
        <f t="shared" si="13"/>
        <v>#N/A</v>
      </c>
      <c r="V34" s="775" t="s">
        <v>17</v>
      </c>
      <c r="W34" s="776" t="e">
        <f t="shared" si="14"/>
        <v>#N/A</v>
      </c>
      <c r="X34" s="777"/>
      <c r="Y34" s="3240"/>
      <c r="Z34" s="778" t="str">
        <f t="shared" si="15"/>
        <v>项目建筑规模</v>
      </c>
      <c r="AA34" s="1809" t="e">
        <f t="shared" si="3"/>
        <v>#N/A</v>
      </c>
      <c r="AB34" s="1809" t="e">
        <f t="shared" si="4"/>
        <v>#N/A</v>
      </c>
      <c r="AC34" s="2670"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57"/>
      <c r="Q35" s="1808" t="str">
        <f t="shared" si="11"/>
        <v>建筑结构</v>
      </c>
      <c r="R35" s="772" t="s">
        <v>17</v>
      </c>
      <c r="S35" s="773">
        <f t="shared" si="12"/>
        <v>100</v>
      </c>
      <c r="T35" s="772" t="s">
        <v>17</v>
      </c>
      <c r="U35" s="773">
        <f t="shared" si="13"/>
        <v>100</v>
      </c>
      <c r="V35" s="772" t="s">
        <v>17</v>
      </c>
      <c r="W35" s="773">
        <f t="shared" si="14"/>
        <v>100</v>
      </c>
      <c r="X35" s="1811"/>
      <c r="Y35" s="3240"/>
      <c r="Z35" s="1812" t="str">
        <f t="shared" si="15"/>
        <v>建筑结构</v>
      </c>
      <c r="AA35" s="1809">
        <f t="shared" si="3"/>
        <v>1</v>
      </c>
      <c r="AB35" s="1809">
        <f t="shared" si="4"/>
        <v>1</v>
      </c>
      <c r="AC35" s="2670">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57"/>
      <c r="Q36" s="1808" t="str">
        <f t="shared" si="11"/>
        <v>公共部分装修</v>
      </c>
      <c r="R36" s="772" t="s">
        <v>17</v>
      </c>
      <c r="S36" s="773">
        <f t="shared" si="12"/>
        <v>100</v>
      </c>
      <c r="T36" s="772" t="s">
        <v>17</v>
      </c>
      <c r="U36" s="773">
        <f t="shared" si="13"/>
        <v>100</v>
      </c>
      <c r="V36" s="772" t="s">
        <v>17</v>
      </c>
      <c r="W36" s="773">
        <f t="shared" si="14"/>
        <v>100</v>
      </c>
      <c r="X36" s="1811"/>
      <c r="Y36" s="3240"/>
      <c r="Z36" s="1812" t="str">
        <f t="shared" si="15"/>
        <v>公共部分装修</v>
      </c>
      <c r="AA36" s="1809">
        <f t="shared" si="3"/>
        <v>1</v>
      </c>
      <c r="AB36" s="1809">
        <f t="shared" si="4"/>
        <v>1</v>
      </c>
      <c r="AC36" s="2670">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57"/>
      <c r="Q37" s="1808" t="str">
        <f t="shared" si="11"/>
        <v>成新度</v>
      </c>
      <c r="R37" s="772" t="s">
        <v>17</v>
      </c>
      <c r="S37" s="773" t="e">
        <f t="shared" si="12"/>
        <v>#N/A</v>
      </c>
      <c r="T37" s="772" t="s">
        <v>17</v>
      </c>
      <c r="U37" s="773" t="e">
        <f t="shared" si="13"/>
        <v>#N/A</v>
      </c>
      <c r="V37" s="772" t="s">
        <v>17</v>
      </c>
      <c r="W37" s="773" t="e">
        <f t="shared" si="14"/>
        <v>#N/A</v>
      </c>
      <c r="X37" s="1811"/>
      <c r="Y37" s="3240"/>
      <c r="Z37" s="1812" t="str">
        <f t="shared" si="15"/>
        <v>成新度</v>
      </c>
      <c r="AA37" s="1809" t="e">
        <f t="shared" si="3"/>
        <v>#N/A</v>
      </c>
      <c r="AB37" s="1809" t="e">
        <f t="shared" si="4"/>
        <v>#N/A</v>
      </c>
      <c r="AC37" s="2670" t="e">
        <f t="shared" si="5"/>
        <v>#N/A</v>
      </c>
    </row>
    <row r="38" spans="1:29" s="116" customFormat="1" ht="15">
      <c r="A38" s="471"/>
      <c r="B38" s="420" t="s">
        <v>2694</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57"/>
      <c r="Q38" s="1793" t="str">
        <f t="shared" si="11"/>
        <v>写字楼等级</v>
      </c>
      <c r="R38" s="768" t="s">
        <v>17</v>
      </c>
      <c r="S38" s="769">
        <f t="shared" si="12"/>
        <v>100</v>
      </c>
      <c r="T38" s="768" t="s">
        <v>17</v>
      </c>
      <c r="U38" s="769">
        <f t="shared" si="13"/>
        <v>100</v>
      </c>
      <c r="V38" s="768" t="s">
        <v>17</v>
      </c>
      <c r="W38" s="769">
        <f t="shared" si="14"/>
        <v>100</v>
      </c>
      <c r="X38" s="770"/>
      <c r="Y38" s="3240"/>
      <c r="Z38" s="54" t="str">
        <f t="shared" si="15"/>
        <v>写字楼等级</v>
      </c>
      <c r="AA38" s="771">
        <f t="shared" si="3"/>
        <v>1</v>
      </c>
      <c r="AB38" s="771">
        <f t="shared" si="4"/>
        <v>1</v>
      </c>
      <c r="AC38" s="2667">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57" t="s">
        <v>2565</v>
      </c>
      <c r="Q39" s="1808" t="str">
        <f t="shared" si="11"/>
        <v>物业管理</v>
      </c>
      <c r="R39" s="772" t="s">
        <v>17</v>
      </c>
      <c r="S39" s="773">
        <f t="shared" si="12"/>
        <v>100</v>
      </c>
      <c r="T39" s="772" t="s">
        <v>17</v>
      </c>
      <c r="U39" s="773">
        <f t="shared" si="13"/>
        <v>100</v>
      </c>
      <c r="V39" s="772" t="s">
        <v>17</v>
      </c>
      <c r="W39" s="773">
        <f t="shared" si="14"/>
        <v>100</v>
      </c>
      <c r="X39" s="1811"/>
      <c r="Y39" s="3240" t="s">
        <v>2565</v>
      </c>
      <c r="Z39" s="1812" t="str">
        <f t="shared" si="15"/>
        <v>物业管理</v>
      </c>
      <c r="AA39" s="1809">
        <f t="shared" si="3"/>
        <v>1</v>
      </c>
      <c r="AB39" s="1809">
        <f t="shared" si="4"/>
        <v>1</v>
      </c>
      <c r="AC39" s="2670">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57"/>
      <c r="Q40" s="1808" t="str">
        <f t="shared" si="11"/>
        <v>市政基础设施</v>
      </c>
      <c r="R40" s="772" t="s">
        <v>17</v>
      </c>
      <c r="S40" s="773">
        <f t="shared" si="12"/>
        <v>100</v>
      </c>
      <c r="T40" s="772" t="s">
        <v>17</v>
      </c>
      <c r="U40" s="773">
        <f t="shared" si="13"/>
        <v>100</v>
      </c>
      <c r="V40" s="772" t="s">
        <v>17</v>
      </c>
      <c r="W40" s="773">
        <f t="shared" si="14"/>
        <v>100</v>
      </c>
      <c r="X40" s="1811"/>
      <c r="Y40" s="3240"/>
      <c r="Z40" s="1812" t="str">
        <f t="shared" si="15"/>
        <v>市政基础设施</v>
      </c>
      <c r="AA40" s="1809">
        <f t="shared" si="3"/>
        <v>1</v>
      </c>
      <c r="AB40" s="1809">
        <f t="shared" si="4"/>
        <v>1</v>
      </c>
      <c r="AC40" s="2670">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57"/>
      <c r="Q41" s="1808" t="str">
        <f t="shared" si="11"/>
        <v>层高</v>
      </c>
      <c r="R41" s="772" t="s">
        <v>17</v>
      </c>
      <c r="S41" s="773">
        <f t="shared" si="12"/>
        <v>100</v>
      </c>
      <c r="T41" s="772" t="s">
        <v>17</v>
      </c>
      <c r="U41" s="773">
        <f t="shared" si="13"/>
        <v>100</v>
      </c>
      <c r="V41" s="772" t="s">
        <v>17</v>
      </c>
      <c r="W41" s="773">
        <f t="shared" si="14"/>
        <v>100</v>
      </c>
      <c r="X41" s="1811"/>
      <c r="Y41" s="3240"/>
      <c r="Z41" s="1812" t="str">
        <f t="shared" si="15"/>
        <v>层高</v>
      </c>
      <c r="AA41" s="1809">
        <f t="shared" si="3"/>
        <v>1</v>
      </c>
      <c r="AB41" s="1809">
        <f t="shared" si="4"/>
        <v>1</v>
      </c>
      <c r="AC41" s="2670">
        <f t="shared" si="5"/>
        <v>1</v>
      </c>
    </row>
    <row r="42" spans="1:29" s="469" customFormat="1" ht="15">
      <c r="A42" s="466"/>
      <c r="B42" s="1810"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57"/>
      <c r="Q42" s="774" t="str">
        <f t="shared" si="11"/>
        <v>单套建筑面积</v>
      </c>
      <c r="R42" s="775" t="s">
        <v>17</v>
      </c>
      <c r="S42" s="776">
        <f t="shared" si="12"/>
        <v>100</v>
      </c>
      <c r="T42" s="775" t="s">
        <v>17</v>
      </c>
      <c r="U42" s="776">
        <f t="shared" si="13"/>
        <v>100</v>
      </c>
      <c r="V42" s="775" t="s">
        <v>17</v>
      </c>
      <c r="W42" s="776">
        <f t="shared" si="14"/>
        <v>100</v>
      </c>
      <c r="X42" s="777"/>
      <c r="Y42" s="3240"/>
      <c r="Z42" s="778" t="str">
        <f t="shared" si="15"/>
        <v>单套建筑面积</v>
      </c>
      <c r="AA42" s="1809">
        <f t="shared" si="3"/>
        <v>1</v>
      </c>
      <c r="AB42" s="1809">
        <f t="shared" si="4"/>
        <v>1</v>
      </c>
      <c r="AC42" s="2670">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57"/>
      <c r="Q43" s="1808" t="str">
        <f t="shared" si="11"/>
        <v>内部装修</v>
      </c>
      <c r="R43" s="772" t="s">
        <v>17</v>
      </c>
      <c r="S43" s="773">
        <f t="shared" si="12"/>
        <v>100</v>
      </c>
      <c r="T43" s="772" t="s">
        <v>17</v>
      </c>
      <c r="U43" s="773">
        <f t="shared" si="13"/>
        <v>100</v>
      </c>
      <c r="V43" s="772" t="s">
        <v>17</v>
      </c>
      <c r="W43" s="773">
        <f t="shared" si="14"/>
        <v>100</v>
      </c>
      <c r="X43" s="1811"/>
      <c r="Y43" s="3240"/>
      <c r="Z43" s="1812" t="str">
        <f t="shared" si="15"/>
        <v>内部装修</v>
      </c>
      <c r="AA43" s="1809">
        <f t="shared" si="3"/>
        <v>1</v>
      </c>
      <c r="AB43" s="1809">
        <f t="shared" si="4"/>
        <v>1</v>
      </c>
      <c r="AC43" s="2670">
        <f t="shared" si="5"/>
        <v>1</v>
      </c>
    </row>
    <row r="44" spans="1:29" ht="15">
      <c r="A44" s="470"/>
      <c r="B44" s="420" t="s">
        <v>2576</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8"/>
      <c r="M44" s="1129"/>
      <c r="N44" s="1129"/>
      <c r="O44" s="1129"/>
      <c r="P44" s="3257"/>
      <c r="Q44" s="1808" t="str">
        <f t="shared" si="11"/>
        <v>内部装修维护情况</v>
      </c>
      <c r="R44" s="772" t="s">
        <v>17</v>
      </c>
      <c r="S44" s="773">
        <f t="shared" si="12"/>
        <v>100</v>
      </c>
      <c r="T44" s="772" t="s">
        <v>17</v>
      </c>
      <c r="U44" s="773">
        <f t="shared" si="13"/>
        <v>100</v>
      </c>
      <c r="V44" s="772" t="s">
        <v>17</v>
      </c>
      <c r="W44" s="773">
        <f t="shared" si="14"/>
        <v>100</v>
      </c>
      <c r="X44" s="1811"/>
      <c r="Y44" s="3240"/>
      <c r="Z44" s="1812" t="str">
        <f t="shared" si="15"/>
        <v>内部装修维护情况</v>
      </c>
      <c r="AA44" s="1809">
        <f t="shared" si="3"/>
        <v>1</v>
      </c>
      <c r="AB44" s="1809">
        <f t="shared" si="4"/>
        <v>1</v>
      </c>
      <c r="AC44" s="2670">
        <f t="shared" si="5"/>
        <v>1</v>
      </c>
    </row>
    <row r="45" spans="1:29" s="116" customFormat="1" ht="15">
      <c r="A45" s="471"/>
      <c r="B45" s="1384">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0"/>
      <c r="M45" s="1131"/>
      <c r="N45" s="1131"/>
      <c r="O45" s="1131"/>
      <c r="P45" s="3257"/>
      <c r="Q45" s="1793">
        <f t="shared" si="11"/>
        <v>111</v>
      </c>
      <c r="R45" s="768" t="s">
        <v>17</v>
      </c>
      <c r="S45" s="769">
        <f t="shared" si="12"/>
        <v>100</v>
      </c>
      <c r="T45" s="768" t="s">
        <v>17</v>
      </c>
      <c r="U45" s="769">
        <f t="shared" si="13"/>
        <v>100</v>
      </c>
      <c r="V45" s="768" t="s">
        <v>17</v>
      </c>
      <c r="W45" s="769">
        <f t="shared" si="14"/>
        <v>100</v>
      </c>
      <c r="X45" s="770"/>
      <c r="Y45" s="3240"/>
      <c r="Z45" s="54">
        <f t="shared" si="15"/>
        <v>111</v>
      </c>
      <c r="AA45" s="771">
        <f t="shared" si="3"/>
        <v>1</v>
      </c>
      <c r="AB45" s="771">
        <f t="shared" si="4"/>
        <v>1</v>
      </c>
      <c r="AC45" s="2667">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57"/>
      <c r="Q46" s="1808">
        <f t="shared" si="11"/>
        <v>111</v>
      </c>
      <c r="R46" s="772" t="s">
        <v>17</v>
      </c>
      <c r="S46" s="773">
        <f t="shared" si="12"/>
        <v>100</v>
      </c>
      <c r="T46" s="772" t="s">
        <v>17</v>
      </c>
      <c r="U46" s="773">
        <f t="shared" si="13"/>
        <v>100</v>
      </c>
      <c r="V46" s="772" t="s">
        <v>17</v>
      </c>
      <c r="W46" s="773">
        <f t="shared" si="14"/>
        <v>100</v>
      </c>
      <c r="X46" s="1811"/>
      <c r="Y46" s="3240"/>
      <c r="Z46" s="1812">
        <f t="shared" si="15"/>
        <v>111</v>
      </c>
      <c r="AA46" s="1809">
        <f t="shared" si="3"/>
        <v>1</v>
      </c>
      <c r="AB46" s="1809">
        <f t="shared" si="4"/>
        <v>1</v>
      </c>
      <c r="AC46" s="2670">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58"/>
      <c r="Q47" s="1808">
        <f t="shared" si="11"/>
        <v>111</v>
      </c>
      <c r="R47" s="772" t="s">
        <v>17</v>
      </c>
      <c r="S47" s="773">
        <f t="shared" si="12"/>
        <v>100</v>
      </c>
      <c r="T47" s="772" t="s">
        <v>17</v>
      </c>
      <c r="U47" s="773">
        <f t="shared" si="13"/>
        <v>100</v>
      </c>
      <c r="V47" s="772" t="s">
        <v>17</v>
      </c>
      <c r="W47" s="773">
        <f t="shared" si="14"/>
        <v>100</v>
      </c>
      <c r="X47" s="1811"/>
      <c r="Y47" s="3259"/>
      <c r="Z47" s="1812">
        <f t="shared" si="15"/>
        <v>111</v>
      </c>
      <c r="AA47" s="1809">
        <f t="shared" si="3"/>
        <v>1</v>
      </c>
      <c r="AB47" s="1809">
        <f t="shared" si="4"/>
        <v>1</v>
      </c>
      <c r="AC47" s="2670">
        <f t="shared" si="5"/>
        <v>1</v>
      </c>
    </row>
    <row r="48" spans="1:29" ht="15">
      <c r="A48" s="477" t="s">
        <v>2577</v>
      </c>
      <c r="B48" s="478"/>
      <c r="C48" s="1405" t="s">
        <v>1</v>
      </c>
      <c r="D48" s="1406"/>
      <c r="E48" s="1407"/>
      <c r="F48" s="1408"/>
      <c r="G48" s="1409"/>
      <c r="H48" s="1410"/>
      <c r="I48" s="1407"/>
      <c r="J48" s="483"/>
      <c r="K48" s="781"/>
      <c r="L48" s="1141"/>
      <c r="M48" s="1129"/>
      <c r="N48" s="1129"/>
      <c r="O48" s="1129"/>
      <c r="P48" s="3246" t="str">
        <f>A48</f>
        <v>成交单价（元/平方米）</v>
      </c>
      <c r="Q48" s="3222"/>
      <c r="R48" s="3255">
        <f>E48</f>
        <v>0</v>
      </c>
      <c r="S48" s="3255"/>
      <c r="T48" s="3255">
        <f>G48</f>
        <v>0</v>
      </c>
      <c r="U48" s="3255"/>
      <c r="V48" s="3255">
        <f>I48</f>
        <v>0</v>
      </c>
      <c r="W48" s="3255"/>
      <c r="X48" s="444"/>
      <c r="Y48" s="779"/>
      <c r="Z48" s="444"/>
      <c r="AA48" s="444"/>
      <c r="AB48" s="444"/>
      <c r="AC48" s="628"/>
    </row>
    <row r="49" spans="1:29" ht="15.75" thickBot="1">
      <c r="A49" s="484" t="s">
        <v>2669</v>
      </c>
      <c r="B49" s="485"/>
      <c r="C49" s="1411" t="e">
        <f>R50</f>
        <v>#DIV/0!</v>
      </c>
      <c r="D49" s="1412"/>
      <c r="E49" s="1413" t="e">
        <f>R49</f>
        <v>#DIV/0!</v>
      </c>
      <c r="F49" s="1413"/>
      <c r="G49" s="1411" t="e">
        <f>T49</f>
        <v>#DIV/0!</v>
      </c>
      <c r="H49" s="1412"/>
      <c r="I49" s="1413" t="e">
        <f>V49</f>
        <v>#DIV/0!</v>
      </c>
      <c r="J49" s="487"/>
      <c r="K49" s="782"/>
      <c r="L49" s="1141"/>
      <c r="M49" s="1129"/>
      <c r="N49" s="1129"/>
      <c r="O49" s="1129"/>
      <c r="P49" s="3246" t="str">
        <f>A49</f>
        <v>比较价值（元/平方米）</v>
      </c>
      <c r="Q49" s="3222"/>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4"/>
      <c r="Y49" s="444"/>
      <c r="Z49" s="444"/>
      <c r="AA49" s="444"/>
      <c r="AB49" s="444"/>
      <c r="AC49" s="628"/>
    </row>
    <row r="50" spans="1:29" ht="15.75" thickBot="1">
      <c r="A50" s="490" t="s">
        <v>2670</v>
      </c>
      <c r="B50" s="491"/>
      <c r="C50" s="1415" t="e">
        <f>R50</f>
        <v>#DIV/0!</v>
      </c>
      <c r="D50" s="1415"/>
      <c r="E50" s="1415"/>
      <c r="F50" s="1415"/>
      <c r="G50" s="1415"/>
      <c r="H50" s="1415"/>
      <c r="I50" s="1415"/>
      <c r="J50" s="492"/>
      <c r="K50" s="783"/>
      <c r="L50" s="1141"/>
      <c r="M50" s="1129"/>
      <c r="N50" s="1129"/>
      <c r="O50" s="1129"/>
      <c r="P50" s="3301" t="str">
        <f>A50</f>
        <v>估价对象XX用房的比较价值（楼面单价，元/平方米）</v>
      </c>
      <c r="Q50" s="3302"/>
      <c r="R50" s="3303" t="e">
        <f>IF(F1="售价",ROUND(AVERAGE(R49:V49),0),ROUND(AVERAGE(R49:V49),1))</f>
        <v>#DIV/0!</v>
      </c>
      <c r="S50" s="3303"/>
      <c r="T50" s="3303"/>
      <c r="U50" s="3303"/>
      <c r="V50" s="3303"/>
      <c r="W50" s="330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6"/>
    </row>
    <row r="56" spans="1:29" s="500"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2"/>
    </row>
    <row r="59" spans="1:29" s="506" customFormat="1" ht="15">
      <c r="A59" s="503" t="s">
        <v>2548</v>
      </c>
      <c r="B59" s="504"/>
      <c r="C59" s="1572" t="str">
        <f>YEAR(C7)&amp;"-"&amp;MONTH(C7)</f>
        <v>2018-3</v>
      </c>
      <c r="D59" s="1573">
        <f>EDATE(C59,-1)</f>
        <v>43132</v>
      </c>
      <c r="E59" s="1573">
        <f>EDATE(D59,-1)</f>
        <v>43101</v>
      </c>
      <c r="F59" s="1573">
        <f t="shared" ref="F59:O59" si="16">EDATE(E59,-1)</f>
        <v>43070</v>
      </c>
      <c r="G59" s="1573">
        <f t="shared" si="16"/>
        <v>43040</v>
      </c>
      <c r="H59" s="1573">
        <f t="shared" si="16"/>
        <v>43009</v>
      </c>
      <c r="I59" s="1573">
        <f t="shared" si="16"/>
        <v>42979</v>
      </c>
      <c r="J59" s="1573">
        <f t="shared" si="16"/>
        <v>42948</v>
      </c>
      <c r="K59" s="1573">
        <f t="shared" si="16"/>
        <v>42917</v>
      </c>
      <c r="L59" s="1573">
        <f t="shared" si="16"/>
        <v>42887</v>
      </c>
      <c r="M59" s="1573">
        <f t="shared" si="16"/>
        <v>42856</v>
      </c>
      <c r="N59" s="1573">
        <f t="shared" si="16"/>
        <v>42826</v>
      </c>
      <c r="O59" s="1573">
        <f t="shared" si="16"/>
        <v>42795</v>
      </c>
      <c r="P59" s="1569"/>
    </row>
    <row r="60" spans="1:29" s="116" customFormat="1" ht="15">
      <c r="A60" s="507"/>
      <c r="B60" s="508"/>
      <c r="C60" s="1571">
        <v>100</v>
      </c>
      <c r="D60" s="510"/>
      <c r="E60" s="510"/>
      <c r="F60" s="510"/>
      <c r="G60" s="510"/>
      <c r="H60" s="510"/>
      <c r="I60" s="510"/>
      <c r="J60" s="510"/>
      <c r="K60" s="510"/>
      <c r="L60" s="510"/>
      <c r="M60" s="511"/>
      <c r="N60" s="510"/>
      <c r="O60" s="511"/>
      <c r="P60" s="2678"/>
    </row>
    <row r="61" spans="1:29" s="116" customFormat="1" ht="15.75" thickBot="1">
      <c r="A61" s="513" t="s">
        <v>2585</v>
      </c>
      <c r="B61" s="514"/>
      <c r="C61" s="515"/>
      <c r="D61" s="516"/>
      <c r="E61" s="516"/>
      <c r="F61" s="516"/>
      <c r="G61" s="516"/>
      <c r="H61" s="516"/>
      <c r="I61" s="516"/>
      <c r="J61" s="516"/>
      <c r="K61" s="516"/>
      <c r="L61" s="516"/>
      <c r="M61" s="517"/>
      <c r="N61" s="516"/>
      <c r="O61" s="517"/>
      <c r="P61" s="2678"/>
      <c r="Q61" s="502"/>
    </row>
    <row r="62" spans="1:29" s="116" customFormat="1" ht="15">
      <c r="A62" s="519" t="s">
        <v>2550</v>
      </c>
      <c r="B62" s="508"/>
      <c r="C62" s="520" t="s">
        <v>2652</v>
      </c>
      <c r="D62" s="521"/>
      <c r="E62" s="521"/>
      <c r="F62" s="521"/>
      <c r="G62" s="521"/>
      <c r="H62" s="521"/>
      <c r="I62" s="521"/>
      <c r="J62" s="521"/>
      <c r="K62" s="521"/>
      <c r="L62" s="522"/>
      <c r="M62" s="523"/>
      <c r="N62" s="1149"/>
      <c r="O62" s="1149"/>
      <c r="P62" s="2679"/>
      <c r="Q62" s="502"/>
    </row>
    <row r="63" spans="1:29" s="116" customFormat="1" ht="15.75" thickBot="1">
      <c r="A63" s="519"/>
      <c r="B63" s="508"/>
      <c r="C63" s="509">
        <v>100</v>
      </c>
      <c r="D63" s="510"/>
      <c r="E63" s="510"/>
      <c r="F63" s="510"/>
      <c r="G63" s="510"/>
      <c r="H63" s="510"/>
      <c r="I63" s="510"/>
      <c r="J63" s="510"/>
      <c r="K63" s="510"/>
      <c r="L63" s="510"/>
      <c r="M63" s="512"/>
      <c r="N63" s="1149"/>
      <c r="O63" s="1149"/>
      <c r="P63" s="2678"/>
      <c r="Q63" s="502"/>
    </row>
    <row r="64" spans="1:29">
      <c r="A64" s="525" t="s">
        <v>2588</v>
      </c>
      <c r="B64" s="526" t="s">
        <v>2554</v>
      </c>
      <c r="C64" s="527">
        <f>C9</f>
        <v>0</v>
      </c>
      <c r="D64" s="528"/>
      <c r="E64" s="528"/>
      <c r="F64" s="528"/>
      <c r="G64" s="528"/>
      <c r="H64" s="528"/>
      <c r="I64" s="528"/>
      <c r="J64" s="528"/>
      <c r="K64" s="529"/>
      <c r="L64" s="530"/>
      <c r="M64" s="531"/>
      <c r="N64" s="1150"/>
      <c r="O64" s="1150"/>
      <c r="P64" s="2680"/>
      <c r="Q64" s="502"/>
    </row>
    <row r="65" spans="1:17" ht="15.75" thickBot="1">
      <c r="A65" s="532"/>
      <c r="B65" s="533"/>
      <c r="C65" s="534">
        <v>100</v>
      </c>
      <c r="D65" s="534"/>
      <c r="E65" s="534"/>
      <c r="F65" s="534"/>
      <c r="G65" s="534"/>
      <c r="H65" s="534"/>
      <c r="I65" s="534"/>
      <c r="J65" s="534"/>
      <c r="K65" s="534"/>
      <c r="L65" s="534"/>
      <c r="M65" s="535"/>
      <c r="N65" s="1151"/>
      <c r="O65" s="1151"/>
      <c r="P65" s="2680"/>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50"/>
      <c r="O66" s="1150"/>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0"/>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0"/>
      <c r="Q68" s="502"/>
    </row>
    <row r="69" spans="1:17" ht="15">
      <c r="A69" s="532"/>
      <c r="B69" s="546"/>
      <c r="C69" s="547"/>
      <c r="D69" s="547"/>
      <c r="E69" s="547"/>
      <c r="F69" s="547"/>
      <c r="G69" s="547"/>
      <c r="H69" s="547"/>
      <c r="I69" s="547"/>
      <c r="J69" s="547"/>
      <c r="K69" s="548"/>
      <c r="L69" s="549"/>
      <c r="M69" s="550"/>
      <c r="N69" s="1150"/>
      <c r="O69" s="1150"/>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0"/>
      <c r="Q70" s="502"/>
    </row>
    <row r="71" spans="1:17" s="469" customFormat="1" ht="15.75" thickTop="1">
      <c r="A71" s="551"/>
      <c r="B71" s="536">
        <f>B12</f>
        <v>111</v>
      </c>
      <c r="C71" s="552"/>
      <c r="D71" s="552"/>
      <c r="E71" s="552"/>
      <c r="F71" s="552"/>
      <c r="G71" s="552"/>
      <c r="H71" s="553"/>
      <c r="I71" s="553"/>
      <c r="J71" s="553"/>
      <c r="K71" s="553"/>
      <c r="L71" s="554"/>
      <c r="M71" s="555"/>
      <c r="N71" s="1152"/>
      <c r="O71" s="1152"/>
      <c r="P71" s="2681"/>
      <c r="Q71" s="557"/>
    </row>
    <row r="72" spans="1:17" s="469" customFormat="1" ht="15.75" thickBot="1">
      <c r="A72" s="551"/>
      <c r="B72" s="541"/>
      <c r="C72" s="558"/>
      <c r="D72" s="534"/>
      <c r="E72" s="534"/>
      <c r="F72" s="534"/>
      <c r="G72" s="534"/>
      <c r="H72" s="534"/>
      <c r="I72" s="534"/>
      <c r="J72" s="534"/>
      <c r="K72" s="534"/>
      <c r="L72" s="534"/>
      <c r="M72" s="535"/>
      <c r="N72" s="1151"/>
      <c r="O72" s="1151"/>
      <c r="P72" s="2681"/>
      <c r="Q72" s="557"/>
    </row>
    <row r="73" spans="1:17" s="469" customFormat="1" ht="15.75" thickTop="1">
      <c r="A73" s="551"/>
      <c r="B73" s="536">
        <f>B13</f>
        <v>111</v>
      </c>
      <c r="C73" s="552"/>
      <c r="D73" s="552"/>
      <c r="E73" s="552"/>
      <c r="F73" s="552"/>
      <c r="G73" s="552"/>
      <c r="H73" s="553"/>
      <c r="I73" s="553"/>
      <c r="J73" s="553"/>
      <c r="K73" s="553"/>
      <c r="L73" s="554"/>
      <c r="M73" s="555"/>
      <c r="N73" s="1152"/>
      <c r="O73" s="1152"/>
      <c r="P73" s="2682"/>
      <c r="Q73" s="559"/>
    </row>
    <row r="74" spans="1:17" s="469" customFormat="1" ht="15.75" thickBot="1">
      <c r="A74" s="551"/>
      <c r="B74" s="541"/>
      <c r="C74" s="558"/>
      <c r="D74" s="558"/>
      <c r="E74" s="558"/>
      <c r="F74" s="558"/>
      <c r="G74" s="558"/>
      <c r="H74" s="560"/>
      <c r="I74" s="560"/>
      <c r="J74" s="560"/>
      <c r="K74" s="560"/>
      <c r="L74" s="560"/>
      <c r="M74" s="561"/>
      <c r="N74" s="1152"/>
      <c r="O74" s="1152"/>
      <c r="P74" s="2681"/>
      <c r="Q74" s="557"/>
    </row>
    <row r="75" spans="1:17" s="469" customFormat="1" ht="15.75" thickTop="1">
      <c r="A75" s="551"/>
      <c r="B75" s="544">
        <f>B14</f>
        <v>111</v>
      </c>
      <c r="C75" s="521"/>
      <c r="D75" s="521"/>
      <c r="E75" s="521"/>
      <c r="F75" s="521"/>
      <c r="G75" s="521"/>
      <c r="H75" s="562"/>
      <c r="I75" s="562"/>
      <c r="J75" s="562"/>
      <c r="K75" s="562"/>
      <c r="L75" s="563"/>
      <c r="M75" s="564"/>
      <c r="N75" s="1152"/>
      <c r="O75" s="1152"/>
      <c r="P75" s="2683"/>
      <c r="Q75" s="557"/>
    </row>
    <row r="76" spans="1:17" s="469" customFormat="1" ht="15.75" thickBot="1">
      <c r="A76" s="566"/>
      <c r="B76" s="567"/>
      <c r="C76" s="568"/>
      <c r="D76" s="568"/>
      <c r="E76" s="568"/>
      <c r="F76" s="568"/>
      <c r="G76" s="568"/>
      <c r="H76" s="569"/>
      <c r="I76" s="569"/>
      <c r="J76" s="569"/>
      <c r="K76" s="569"/>
      <c r="L76" s="569"/>
      <c r="M76" s="570"/>
      <c r="N76" s="1152"/>
      <c r="O76" s="1152"/>
      <c r="P76" s="2681"/>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50"/>
      <c r="O77" s="1150"/>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0"/>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50"/>
      <c r="O79" s="1150"/>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0"/>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50"/>
      <c r="O81" s="1150"/>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0"/>
      <c r="Q82" s="502"/>
    </row>
    <row r="83" spans="1:17" ht="15.75" thickTop="1">
      <c r="A83" s="532"/>
      <c r="B83" s="544" t="s">
        <v>2689</v>
      </c>
      <c r="C83" s="658" t="s">
        <v>2675</v>
      </c>
      <c r="D83" s="658" t="s">
        <v>2676</v>
      </c>
      <c r="E83" s="658" t="s">
        <v>2677</v>
      </c>
      <c r="F83" s="658" t="s">
        <v>2678</v>
      </c>
      <c r="G83" s="658" t="s">
        <v>2679</v>
      </c>
      <c r="H83" s="537"/>
      <c r="I83" s="537"/>
      <c r="J83" s="537"/>
      <c r="K83" s="537"/>
      <c r="L83" s="537"/>
      <c r="M83" s="1380"/>
      <c r="N83" s="1151"/>
      <c r="O83" s="1151"/>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0"/>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50"/>
      <c r="O85" s="1150"/>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0"/>
      <c r="Q86" s="502"/>
    </row>
    <row r="87" spans="1:17" s="116" customFormat="1" ht="27.75" thickTop="1">
      <c r="A87" s="577"/>
      <c r="B87" s="536" t="s">
        <v>2699</v>
      </c>
      <c r="C87" s="552"/>
      <c r="D87" s="552"/>
      <c r="E87" s="552"/>
      <c r="F87" s="552"/>
      <c r="G87" s="552"/>
      <c r="H87" s="552"/>
      <c r="I87" s="552"/>
      <c r="J87" s="552"/>
      <c r="K87" s="552"/>
      <c r="L87" s="578"/>
      <c r="M87" s="579"/>
      <c r="N87" s="1149"/>
      <c r="O87" s="1149"/>
      <c r="P87" s="2680"/>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0"/>
      <c r="Q88" s="502"/>
    </row>
    <row r="89" spans="1:17" s="116" customFormat="1" ht="15.75" thickTop="1">
      <c r="A89" s="577"/>
      <c r="B89" s="536" t="str">
        <f>B27</f>
        <v>楼层</v>
      </c>
      <c r="C89" s="552"/>
      <c r="D89" s="552"/>
      <c r="E89" s="552"/>
      <c r="F89" s="2631"/>
      <c r="G89" s="552"/>
      <c r="H89" s="552"/>
      <c r="I89" s="552"/>
      <c r="J89" s="552"/>
      <c r="K89" s="552"/>
      <c r="L89" s="552"/>
      <c r="M89" s="579"/>
      <c r="N89" s="1149"/>
      <c r="O89" s="1149"/>
      <c r="P89" s="2680"/>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0"/>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1"/>
      <c r="Q92" s="557"/>
    </row>
    <row r="93" spans="1:17" ht="15.75" thickTop="1">
      <c r="A93" s="532"/>
      <c r="B93" s="536">
        <f>B29</f>
        <v>111</v>
      </c>
      <c r="C93" s="552"/>
      <c r="D93" s="552"/>
      <c r="E93" s="552"/>
      <c r="F93" s="552"/>
      <c r="G93" s="552"/>
      <c r="H93" s="552"/>
      <c r="I93" s="552"/>
      <c r="J93" s="552"/>
      <c r="K93" s="552"/>
      <c r="L93" s="578"/>
      <c r="M93" s="579"/>
      <c r="N93" s="1150"/>
      <c r="O93" s="1150"/>
      <c r="P93" s="2680"/>
      <c r="Q93" s="502"/>
    </row>
    <row r="94" spans="1:17" ht="15.75" thickBot="1">
      <c r="A94" s="532"/>
      <c r="B94" s="541"/>
      <c r="C94" s="558"/>
      <c r="D94" s="534"/>
      <c r="E94" s="534"/>
      <c r="F94" s="534"/>
      <c r="G94" s="534"/>
      <c r="H94" s="534"/>
      <c r="I94" s="534"/>
      <c r="J94" s="534"/>
      <c r="K94" s="534"/>
      <c r="L94" s="534"/>
      <c r="M94" s="535"/>
      <c r="N94" s="1151"/>
      <c r="O94" s="1151"/>
      <c r="P94" s="2680"/>
      <c r="Q94" s="502"/>
    </row>
    <row r="95" spans="1:17" ht="15.75" thickTop="1">
      <c r="A95" s="532"/>
      <c r="B95" s="536">
        <f>B30</f>
        <v>111</v>
      </c>
      <c r="C95" s="552"/>
      <c r="D95" s="552"/>
      <c r="E95" s="552"/>
      <c r="F95" s="552"/>
      <c r="G95" s="581"/>
      <c r="H95" s="581"/>
      <c r="I95" s="581"/>
      <c r="J95" s="581"/>
      <c r="K95" s="582"/>
      <c r="L95" s="583"/>
      <c r="M95" s="584"/>
      <c r="N95" s="1150"/>
      <c r="O95" s="1150"/>
      <c r="P95" s="2680"/>
      <c r="Q95" s="502"/>
    </row>
    <row r="96" spans="1:17" ht="15.75" thickBot="1">
      <c r="A96" s="532"/>
      <c r="B96" s="541"/>
      <c r="C96" s="558"/>
      <c r="D96" s="558"/>
      <c r="E96" s="558"/>
      <c r="F96" s="558"/>
      <c r="G96" s="534"/>
      <c r="H96" s="534"/>
      <c r="I96" s="534"/>
      <c r="J96" s="534"/>
      <c r="K96" s="534"/>
      <c r="L96" s="534"/>
      <c r="M96" s="535"/>
      <c r="N96" s="1151"/>
      <c r="O96" s="1151"/>
      <c r="P96" s="2680"/>
      <c r="Q96" s="502"/>
    </row>
    <row r="97" spans="1:17" ht="15.75" thickTop="1">
      <c r="A97" s="532"/>
      <c r="B97" s="536">
        <f>B31</f>
        <v>111</v>
      </c>
      <c r="C97" s="552"/>
      <c r="D97" s="552"/>
      <c r="E97" s="552"/>
      <c r="F97" s="552"/>
      <c r="G97" s="581"/>
      <c r="H97" s="581"/>
      <c r="I97" s="581"/>
      <c r="J97" s="581"/>
      <c r="K97" s="582"/>
      <c r="L97" s="583"/>
      <c r="M97" s="584"/>
      <c r="N97" s="1150"/>
      <c r="O97" s="1150"/>
      <c r="P97" s="2680"/>
      <c r="Q97" s="502"/>
    </row>
    <row r="98" spans="1:17" ht="15.75" thickBot="1">
      <c r="A98" s="532"/>
      <c r="B98" s="541"/>
      <c r="C98" s="558"/>
      <c r="D98" s="534"/>
      <c r="E98" s="534"/>
      <c r="F98" s="534"/>
      <c r="G98" s="534"/>
      <c r="H98" s="534"/>
      <c r="I98" s="534"/>
      <c r="J98" s="534"/>
      <c r="K98" s="534"/>
      <c r="L98" s="534"/>
      <c r="M98" s="535"/>
      <c r="N98" s="1151"/>
      <c r="O98" s="1151"/>
      <c r="P98" s="2680"/>
      <c r="Q98" s="502"/>
    </row>
    <row r="99" spans="1:17" ht="15.75" thickTop="1">
      <c r="A99" s="532"/>
      <c r="B99" s="544">
        <f>B32</f>
        <v>111</v>
      </c>
      <c r="C99" s="521"/>
      <c r="D99" s="521"/>
      <c r="E99" s="521"/>
      <c r="F99" s="521"/>
      <c r="G99" s="585"/>
      <c r="H99" s="585"/>
      <c r="I99" s="585"/>
      <c r="J99" s="585"/>
      <c r="K99" s="586"/>
      <c r="L99" s="587"/>
      <c r="M99" s="588"/>
      <c r="N99" s="1150"/>
      <c r="O99" s="1150"/>
      <c r="P99" s="2680"/>
      <c r="Q99" s="502"/>
    </row>
    <row r="100" spans="1:17" ht="15.75" thickBot="1">
      <c r="A100" s="2632"/>
      <c r="B100" s="567"/>
      <c r="C100" s="568"/>
      <c r="D100" s="568"/>
      <c r="E100" s="568"/>
      <c r="F100" s="568"/>
      <c r="G100" s="589"/>
      <c r="H100" s="589"/>
      <c r="I100" s="589"/>
      <c r="J100" s="589"/>
      <c r="K100" s="589"/>
      <c r="L100" s="589"/>
      <c r="M100" s="590"/>
      <c r="N100" s="1151"/>
      <c r="O100" s="1151"/>
      <c r="P100" s="2680"/>
      <c r="Q100" s="502"/>
    </row>
    <row r="101" spans="1:17">
      <c r="A101" s="525" t="s">
        <v>2563</v>
      </c>
      <c r="B101" s="526" t="s">
        <v>2612</v>
      </c>
      <c r="C101" s="528"/>
      <c r="D101" s="528"/>
      <c r="E101" s="528"/>
      <c r="F101" s="528"/>
      <c r="G101" s="528"/>
      <c r="H101" s="528"/>
      <c r="I101" s="528"/>
      <c r="J101" s="528"/>
      <c r="K101" s="529"/>
      <c r="L101" s="530"/>
      <c r="M101" s="531"/>
      <c r="N101" s="1150"/>
      <c r="O101" s="1150"/>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0"/>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0"/>
      <c r="Q103" s="502"/>
    </row>
    <row r="104" spans="1:17" s="469" customFormat="1">
      <c r="A104" s="591"/>
      <c r="B104" s="592"/>
      <c r="C104" s="593"/>
      <c r="D104" s="593"/>
      <c r="E104" s="593"/>
      <c r="F104" s="593"/>
      <c r="G104" s="593"/>
      <c r="H104" s="593"/>
      <c r="I104" s="593"/>
      <c r="J104" s="594"/>
      <c r="K104" s="594"/>
      <c r="L104" s="595"/>
      <c r="M104" s="596"/>
      <c r="N104" s="1152"/>
      <c r="O104" s="1152"/>
      <c r="P104" s="2681"/>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1"/>
      <c r="Q105" s="557"/>
    </row>
    <row r="106" spans="1:17" ht="15" thickTop="1">
      <c r="A106" s="597"/>
      <c r="B106" s="536" t="s">
        <v>2614</v>
      </c>
      <c r="C106" s="552"/>
      <c r="D106" s="552"/>
      <c r="E106" s="581"/>
      <c r="F106" s="581"/>
      <c r="G106" s="581"/>
      <c r="H106" s="581"/>
      <c r="I106" s="581"/>
      <c r="J106" s="581"/>
      <c r="K106" s="582"/>
      <c r="L106" s="583"/>
      <c r="M106" s="584"/>
      <c r="N106" s="1150"/>
      <c r="O106" s="1150"/>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0"/>
      <c r="Q107" s="502"/>
    </row>
    <row r="108" spans="1:17" ht="15" thickTop="1">
      <c r="A108" s="597"/>
      <c r="B108" s="536" t="s">
        <v>2616</v>
      </c>
      <c r="C108" s="552"/>
      <c r="D108" s="552"/>
      <c r="E108" s="552"/>
      <c r="F108" s="581"/>
      <c r="G108" s="581"/>
      <c r="H108" s="581"/>
      <c r="I108" s="581"/>
      <c r="J108" s="581"/>
      <c r="K108" s="582"/>
      <c r="L108" s="583"/>
      <c r="M108" s="584"/>
      <c r="N108" s="1150"/>
      <c r="O108" s="1150"/>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0"/>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0"/>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0"/>
      <c r="Q112" s="502"/>
    </row>
    <row r="113" spans="1:17" s="469" customFormat="1" ht="15" thickTop="1">
      <c r="A113" s="591"/>
      <c r="B113" s="536" t="s">
        <v>2700</v>
      </c>
      <c r="C113" s="552"/>
      <c r="D113" s="552"/>
      <c r="E113" s="552"/>
      <c r="F113" s="552"/>
      <c r="G113" s="552"/>
      <c r="H113" s="581"/>
      <c r="I113" s="581"/>
      <c r="J113" s="581"/>
      <c r="K113" s="582"/>
      <c r="L113" s="583"/>
      <c r="M113" s="584"/>
      <c r="N113" s="1152"/>
      <c r="O113" s="1152"/>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1"/>
      <c r="Q114" s="557"/>
    </row>
    <row r="115" spans="1:17" ht="15" thickTop="1">
      <c r="A115" s="597"/>
      <c r="B115" s="536" t="s">
        <v>2617</v>
      </c>
      <c r="C115" s="552"/>
      <c r="D115" s="552"/>
      <c r="E115" s="581"/>
      <c r="F115" s="581"/>
      <c r="G115" s="581"/>
      <c r="H115" s="581"/>
      <c r="I115" s="581"/>
      <c r="J115" s="581"/>
      <c r="K115" s="582"/>
      <c r="L115" s="583"/>
      <c r="M115" s="584"/>
      <c r="N115" s="1150"/>
      <c r="O115" s="1150"/>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0"/>
      <c r="Q116" s="502"/>
    </row>
    <row r="117" spans="1:17" ht="15" thickTop="1">
      <c r="A117" s="597"/>
      <c r="B117" s="536" t="s">
        <v>2618</v>
      </c>
      <c r="C117" s="552"/>
      <c r="D117" s="552"/>
      <c r="E117" s="552"/>
      <c r="F117" s="552"/>
      <c r="G117" s="552"/>
      <c r="H117" s="581"/>
      <c r="I117" s="581"/>
      <c r="J117" s="581"/>
      <c r="K117" s="582"/>
      <c r="L117" s="583"/>
      <c r="M117" s="584"/>
      <c r="N117" s="1150"/>
      <c r="O117" s="1150"/>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0"/>
      <c r="Q118" s="502"/>
    </row>
    <row r="119" spans="1:17" ht="15" thickTop="1">
      <c r="A119" s="597"/>
      <c r="B119" s="634" t="s">
        <v>2701</v>
      </c>
      <c r="C119" s="581"/>
      <c r="D119" s="581"/>
      <c r="E119" s="581"/>
      <c r="F119" s="581"/>
      <c r="G119" s="581"/>
      <c r="H119" s="581"/>
      <c r="I119" s="581"/>
      <c r="J119" s="581"/>
      <c r="K119" s="581"/>
      <c r="L119" s="2685"/>
      <c r="M119" s="2686"/>
      <c r="N119" s="1151"/>
      <c r="O119" s="1151"/>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0"/>
      <c r="Q120" s="502"/>
    </row>
    <row r="121" spans="1:17" s="469" customFormat="1" ht="15" thickTop="1">
      <c r="A121" s="591"/>
      <c r="B121" s="536" t="s">
        <v>2684</v>
      </c>
      <c r="C121" s="552"/>
      <c r="D121" s="552"/>
      <c r="E121" s="552"/>
      <c r="F121" s="581"/>
      <c r="G121" s="553"/>
      <c r="H121" s="553"/>
      <c r="I121" s="553"/>
      <c r="J121" s="553"/>
      <c r="K121" s="553"/>
      <c r="L121" s="554"/>
      <c r="M121" s="555"/>
      <c r="N121" s="1152"/>
      <c r="O121" s="1152"/>
      <c r="P121" s="2681"/>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1"/>
      <c r="Q122" s="557"/>
    </row>
    <row r="123" spans="1:17" ht="15" thickTop="1">
      <c r="A123" s="597"/>
      <c r="B123" s="536" t="s">
        <v>2620</v>
      </c>
      <c r="C123" s="552"/>
      <c r="D123" s="552"/>
      <c r="E123" s="552"/>
      <c r="F123" s="581"/>
      <c r="G123" s="581"/>
      <c r="H123" s="581"/>
      <c r="I123" s="581"/>
      <c r="J123" s="581"/>
      <c r="K123" s="582"/>
      <c r="L123" s="583"/>
      <c r="M123" s="584"/>
      <c r="N123" s="1150"/>
      <c r="O123" s="1150"/>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0"/>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50"/>
      <c r="O125" s="1150"/>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0"/>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1"/>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1"/>
      <c r="Q128" s="557"/>
    </row>
    <row r="129" spans="1:17" ht="15" thickTop="1">
      <c r="A129" s="597"/>
      <c r="B129" s="536">
        <f>B46</f>
        <v>111</v>
      </c>
      <c r="C129" s="552"/>
      <c r="D129" s="552"/>
      <c r="E129" s="552"/>
      <c r="F129" s="552"/>
      <c r="G129" s="581"/>
      <c r="H129" s="581"/>
      <c r="I129" s="581"/>
      <c r="J129" s="581"/>
      <c r="K129" s="582"/>
      <c r="L129" s="583"/>
      <c r="M129" s="584"/>
      <c r="N129" s="1150"/>
      <c r="O129" s="1150"/>
      <c r="P129" s="2680"/>
      <c r="Q129" s="502"/>
    </row>
    <row r="130" spans="1:17" ht="15.75" thickBot="1">
      <c r="A130" s="532"/>
      <c r="B130" s="541"/>
      <c r="C130" s="558"/>
      <c r="D130" s="558"/>
      <c r="E130" s="558"/>
      <c r="F130" s="558"/>
      <c r="G130" s="534"/>
      <c r="H130" s="534"/>
      <c r="I130" s="534"/>
      <c r="J130" s="534"/>
      <c r="K130" s="534"/>
      <c r="L130" s="534"/>
      <c r="M130" s="535"/>
      <c r="N130" s="1151"/>
      <c r="O130" s="1151"/>
      <c r="P130" s="2680"/>
      <c r="Q130" s="502"/>
    </row>
    <row r="131" spans="1:17" ht="15" thickTop="1">
      <c r="A131" s="597"/>
      <c r="B131" s="544">
        <f>B47</f>
        <v>111</v>
      </c>
      <c r="C131" s="521"/>
      <c r="D131" s="521"/>
      <c r="E131" s="521"/>
      <c r="F131" s="521"/>
      <c r="G131" s="585"/>
      <c r="H131" s="585"/>
      <c r="I131" s="585"/>
      <c r="J131" s="585"/>
      <c r="K131" s="521"/>
      <c r="L131" s="522"/>
      <c r="M131" s="588"/>
      <c r="N131" s="1150"/>
      <c r="O131" s="1150"/>
      <c r="P131" s="2680"/>
      <c r="Q131" s="502"/>
    </row>
    <row r="132" spans="1:17" ht="15.75" thickBot="1">
      <c r="A132" s="2632"/>
      <c r="B132" s="567"/>
      <c r="C132" s="568"/>
      <c r="D132" s="568"/>
      <c r="E132" s="568"/>
      <c r="F132" s="568"/>
      <c r="G132" s="589"/>
      <c r="H132" s="589"/>
      <c r="I132" s="589"/>
      <c r="J132" s="589"/>
      <c r="K132" s="589"/>
      <c r="L132" s="589"/>
      <c r="M132" s="590"/>
      <c r="N132" s="1151"/>
      <c r="O132" s="1151"/>
      <c r="P132" s="268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IF(C2="——",ROUND(C43*D3/10000,0),ROUND(C43*D3/10000,0)-D2)</f>
        <v>#DIV/0!</v>
      </c>
      <c r="C2" s="2584"/>
      <c r="D2" s="1122" t="e">
        <f ca="1">SUMIF(INDIRECT("'"&amp;F2&amp;"'"&amp;"!A:A"),"承租人权益价值",INDIRECT("'"&amp;F2&amp;"'"&amp;"!c:c"))</f>
        <v>#REF!</v>
      </c>
      <c r="E2" s="2585" t="s">
        <v>2331</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2332</v>
      </c>
      <c r="B3" s="607" t="e">
        <f ca="1">IF(C2="——",C43,ROUND(B2*10000/D3,0))</f>
        <v>#DIV/0!</v>
      </c>
      <c r="C3" s="399" t="s">
        <v>2644</v>
      </c>
      <c r="D3" s="398">
        <f>IF(D1="",'数据-汇总表'!E3,SUMIF('数据-汇总表'!$C19:$C33,D1,'数据-汇总表'!$E19:$E33))</f>
        <v>3217.2100000000009</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06" t="s">
        <v>2648</v>
      </c>
      <c r="AC4" s="3205" t="s">
        <v>2649</v>
      </c>
    </row>
    <row r="5" spans="1:29" ht="15">
      <c r="A5" s="403"/>
      <c r="B5" s="404"/>
      <c r="C5" s="3216" t="s">
        <v>2542</v>
      </c>
      <c r="D5" s="3217"/>
      <c r="E5" s="3214" t="s">
        <v>2543</v>
      </c>
      <c r="F5" s="3215"/>
      <c r="G5" s="3216" t="s">
        <v>2544</v>
      </c>
      <c r="H5" s="3217"/>
      <c r="I5" s="3216" t="s">
        <v>2545</v>
      </c>
      <c r="J5" s="3217"/>
      <c r="K5" s="608"/>
      <c r="L5" s="1128"/>
      <c r="M5" s="1129"/>
      <c r="N5" s="1129"/>
      <c r="O5" s="1129"/>
      <c r="P5" s="3229"/>
      <c r="Q5" s="3230"/>
      <c r="R5" s="3212"/>
      <c r="S5" s="3213"/>
      <c r="T5" s="3212"/>
      <c r="U5" s="3213"/>
      <c r="V5" s="3235"/>
      <c r="W5" s="3235"/>
      <c r="X5" s="1811"/>
      <c r="Y5" s="3212"/>
      <c r="Z5" s="3213"/>
      <c r="AA5" s="3206"/>
      <c r="AB5" s="3206"/>
      <c r="AC5" s="3206"/>
    </row>
    <row r="6" spans="1:29" ht="15.75" thickBot="1">
      <c r="A6" s="405"/>
      <c r="B6" s="406"/>
      <c r="C6" s="3218" t="s">
        <v>2546</v>
      </c>
      <c r="D6" s="3219"/>
      <c r="E6" s="3220" t="s">
        <v>2546</v>
      </c>
      <c r="F6" s="3221"/>
      <c r="G6" s="3218" t="s">
        <v>2546</v>
      </c>
      <c r="H6" s="3219"/>
      <c r="I6" s="3218" t="s">
        <v>2546</v>
      </c>
      <c r="J6" s="3219"/>
      <c r="K6" s="608" t="s">
        <v>2547</v>
      </c>
      <c r="L6" s="1128"/>
      <c r="M6" s="1129"/>
      <c r="N6" s="1129"/>
      <c r="O6" s="1129"/>
      <c r="P6" s="3231"/>
      <c r="Q6" s="3232"/>
      <c r="R6" s="3212"/>
      <c r="S6" s="3213"/>
      <c r="T6" s="3233"/>
      <c r="U6" s="3234"/>
      <c r="V6" s="3235"/>
      <c r="W6" s="3235"/>
      <c r="X6" s="1811"/>
      <c r="Y6" s="3233"/>
      <c r="Z6" s="3234"/>
      <c r="AA6" s="3207"/>
      <c r="AB6" s="3207"/>
      <c r="AC6" s="3207"/>
    </row>
    <row r="7" spans="1:29" s="116" customFormat="1" ht="15.75" thickBot="1">
      <c r="A7" s="407" t="s">
        <v>2548</v>
      </c>
      <c r="B7" s="408"/>
      <c r="C7" s="409">
        <f>'数据-取费表'!B2</f>
        <v>43185</v>
      </c>
      <c r="D7" s="410">
        <v>100</v>
      </c>
      <c r="E7" s="411"/>
      <c r="F7" s="412">
        <f>SUMIF(52:52,YEAR(E7)&amp;"-"&amp;MONTH(E7),53:53)</f>
        <v>0</v>
      </c>
      <c r="G7" s="411"/>
      <c r="H7" s="410">
        <f>SUMIF(52:52,YEAR(G7)&amp;"-"&amp;MONTH(G7),53:53)</f>
        <v>0</v>
      </c>
      <c r="I7" s="411"/>
      <c r="J7" s="410">
        <f>SUMIF(52:52,YEAR(I7)&amp;"-"&amp;MONTH(I7),53:53)</f>
        <v>0</v>
      </c>
      <c r="K7" s="609"/>
      <c r="L7" s="1130"/>
      <c r="M7" s="1131"/>
      <c r="N7" s="1131"/>
      <c r="O7" s="1131"/>
      <c r="P7" s="3208" t="s">
        <v>2549</v>
      </c>
      <c r="Q7" s="3236"/>
      <c r="R7" s="768" t="s">
        <v>17</v>
      </c>
      <c r="S7" s="769">
        <f t="shared" ref="S7:S15" si="0">F7</f>
        <v>0</v>
      </c>
      <c r="T7" s="768" t="s">
        <v>17</v>
      </c>
      <c r="U7" s="769">
        <f t="shared" ref="U7:U15" si="1">H7</f>
        <v>0</v>
      </c>
      <c r="V7" s="768" t="s">
        <v>17</v>
      </c>
      <c r="W7" s="769">
        <f t="shared" ref="W7:W15" si="2">J7</f>
        <v>0</v>
      </c>
      <c r="X7" s="770"/>
      <c r="Y7" s="3208" t="s">
        <v>2549</v>
      </c>
      <c r="Z7" s="3209"/>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09"/>
      <c r="L8" s="1130"/>
      <c r="M8" s="1131"/>
      <c r="N8" s="1131"/>
      <c r="O8" s="1131"/>
      <c r="P8" s="3208" t="s">
        <v>2552</v>
      </c>
      <c r="Q8" s="3209"/>
      <c r="R8" s="768" t="s">
        <v>17</v>
      </c>
      <c r="S8" s="769">
        <f t="shared" si="0"/>
        <v>0</v>
      </c>
      <c r="T8" s="768" t="s">
        <v>17</v>
      </c>
      <c r="U8" s="769">
        <f t="shared" si="1"/>
        <v>0</v>
      </c>
      <c r="V8" s="768" t="s">
        <v>17</v>
      </c>
      <c r="W8" s="769">
        <f t="shared" si="2"/>
        <v>0</v>
      </c>
      <c r="X8" s="770"/>
      <c r="Y8" s="3208" t="s">
        <v>2552</v>
      </c>
      <c r="Z8" s="3209"/>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09"/>
      <c r="L9" s="1130"/>
      <c r="M9" s="1131"/>
      <c r="N9" s="1131"/>
      <c r="O9" s="1132"/>
      <c r="P9" s="3222"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771">
        <f t="shared" si="5"/>
        <v>1</v>
      </c>
    </row>
    <row r="10" spans="1:29" s="425" customFormat="1" ht="27">
      <c r="A10" s="419"/>
      <c r="B10" s="420" t="s">
        <v>2557</v>
      </c>
      <c r="C10" s="421"/>
      <c r="D10" s="135">
        <v>100</v>
      </c>
      <c r="E10" s="421"/>
      <c r="F10" s="135">
        <f>SUMIF(59:59,E10,60:60)-SUMIF(59:59,C10,60:60)+100</f>
        <v>100</v>
      </c>
      <c r="G10" s="422"/>
      <c r="H10" s="135">
        <f>SUMIF(59:59,G10,60:60)-SUMIF(59:59,C10,60:60)+100</f>
        <v>100</v>
      </c>
      <c r="I10" s="421"/>
      <c r="J10" s="135">
        <f>SUMIF(59:59,I10,60:60)-SUMIF(59:59,C10,60:60)+100</f>
        <v>100</v>
      </c>
      <c r="K10" s="610"/>
      <c r="L10" s="1133"/>
      <c r="M10" s="1134"/>
      <c r="N10" s="1134"/>
      <c r="O10" s="1135"/>
      <c r="P10" s="3222"/>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771">
        <f t="shared" si="5"/>
        <v>1</v>
      </c>
    </row>
    <row r="11" spans="1:29" ht="15">
      <c r="A11" s="426"/>
      <c r="B11" s="420" t="s">
        <v>2558</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6"/>
      <c r="M11" s="1129"/>
      <c r="N11" s="1129"/>
      <c r="O11" s="1137"/>
      <c r="P11" s="3222"/>
      <c r="Q11" s="1793" t="str">
        <f t="shared" si="6"/>
        <v>容积率</v>
      </c>
      <c r="R11" s="768" t="s">
        <v>17</v>
      </c>
      <c r="S11" s="769" t="e">
        <f t="shared" si="0"/>
        <v>#N/A</v>
      </c>
      <c r="T11" s="768" t="s">
        <v>17</v>
      </c>
      <c r="U11" s="769" t="e">
        <f t="shared" si="1"/>
        <v>#N/A</v>
      </c>
      <c r="V11" s="768" t="s">
        <v>17</v>
      </c>
      <c r="W11" s="769" t="e">
        <f t="shared" si="2"/>
        <v>#N/A</v>
      </c>
      <c r="X11" s="770"/>
      <c r="Y11" s="3077"/>
      <c r="Z11" s="54" t="str">
        <f t="shared" si="7"/>
        <v>容积率</v>
      </c>
      <c r="AA11" s="771" t="e">
        <f t="shared" si="3"/>
        <v>#N/A</v>
      </c>
      <c r="AB11" s="771" t="e">
        <f t="shared" si="4"/>
        <v>#N/A</v>
      </c>
      <c r="AC11" s="771" t="e">
        <f t="shared" si="5"/>
        <v>#N/A</v>
      </c>
    </row>
    <row r="12" spans="1:29" s="116" customFormat="1" ht="15">
      <c r="A12" s="429"/>
      <c r="B12" s="2597">
        <v>111</v>
      </c>
      <c r="C12" s="430"/>
      <c r="D12" s="431">
        <v>100</v>
      </c>
      <c r="E12" s="432"/>
      <c r="F12" s="135">
        <f>SUMIF(64:64,E12,65:65)-SUMIF(64:64,C12,65:65)+100</f>
        <v>100</v>
      </c>
      <c r="G12" s="2688"/>
      <c r="H12" s="135">
        <f>SUMIF(64:64,G12,65:65)-SUMIF(64:64,C12,65:65)+100</f>
        <v>100</v>
      </c>
      <c r="I12" s="467"/>
      <c r="J12" s="135">
        <f>SUMIF(64:64,I12,65:65)-SUMIF(64:64,C12,65:65)+100</f>
        <v>100</v>
      </c>
      <c r="K12" s="611"/>
      <c r="L12" s="1130"/>
      <c r="M12" s="1131"/>
      <c r="N12" s="1131"/>
      <c r="O12" s="1132"/>
      <c r="P12" s="3222"/>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771">
        <f>D12/J12</f>
        <v>1</v>
      </c>
    </row>
    <row r="13" spans="1:29" ht="15">
      <c r="A13" s="426"/>
      <c r="B13" s="2597">
        <v>111</v>
      </c>
      <c r="C13" s="432"/>
      <c r="D13" s="433">
        <v>100</v>
      </c>
      <c r="E13" s="432"/>
      <c r="F13" s="135">
        <f>SUMIF(66:66,E13,67:67)-SUMIF(66:66,C13,67:67)+100</f>
        <v>100</v>
      </c>
      <c r="G13" s="2688"/>
      <c r="H13" s="433">
        <f>SUMIF(66:66,G13,67:67)-SUMIF(66:66,C13,67:67)+100</f>
        <v>100</v>
      </c>
      <c r="I13" s="467"/>
      <c r="J13" s="433">
        <f>SUMIF(66:66,I13,67:67)-SUMIF(66:66,C13,67:67)+100</f>
        <v>100</v>
      </c>
      <c r="K13" s="611"/>
      <c r="L13" s="1138"/>
      <c r="M13" s="1129"/>
      <c r="N13" s="1129"/>
      <c r="O13" s="1137"/>
      <c r="P13" s="3222"/>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771">
        <f t="shared" si="5"/>
        <v>1</v>
      </c>
    </row>
    <row r="14" spans="1:29" ht="15.75" thickBot="1">
      <c r="A14" s="434"/>
      <c r="B14" s="2599">
        <v>111</v>
      </c>
      <c r="C14" s="435"/>
      <c r="D14" s="436">
        <v>100</v>
      </c>
      <c r="E14" s="435"/>
      <c r="F14" s="436">
        <f>SUMIF(68:68,E14,69:69)-SUMIF(68:68,C14,69:69)+100</f>
        <v>100</v>
      </c>
      <c r="G14" s="2688"/>
      <c r="H14" s="436">
        <f>SUMIF(68:68,G14,69:69)-SUMIF(68:68,C14,69:69)+100</f>
        <v>100</v>
      </c>
      <c r="I14" s="467"/>
      <c r="J14" s="436">
        <f>SUMIF(68:68,I14,69:69)-SUMIF(68:68,C14,69:69)+100</f>
        <v>100</v>
      </c>
      <c r="K14" s="611"/>
      <c r="L14" s="1138"/>
      <c r="M14" s="1129"/>
      <c r="N14" s="1129"/>
      <c r="O14" s="1137"/>
      <c r="P14" s="3222"/>
      <c r="Q14" s="1793">
        <f t="shared" si="6"/>
        <v>111</v>
      </c>
      <c r="R14" s="768" t="s">
        <v>17</v>
      </c>
      <c r="S14" s="769">
        <f t="shared" si="0"/>
        <v>100</v>
      </c>
      <c r="T14" s="768" t="s">
        <v>17</v>
      </c>
      <c r="U14" s="769">
        <f t="shared" si="1"/>
        <v>100</v>
      </c>
      <c r="V14" s="768" t="s">
        <v>17</v>
      </c>
      <c r="W14" s="769">
        <f t="shared" si="2"/>
        <v>100</v>
      </c>
      <c r="X14" s="770"/>
      <c r="Y14" s="3077"/>
      <c r="Z14" s="54">
        <f t="shared" si="7"/>
        <v>111</v>
      </c>
      <c r="AA14" s="771">
        <f t="shared" si="3"/>
        <v>1</v>
      </c>
      <c r="AB14" s="771">
        <f t="shared" si="4"/>
        <v>1</v>
      </c>
      <c r="AC14" s="771">
        <f t="shared" si="5"/>
        <v>1</v>
      </c>
    </row>
    <row r="15" spans="1:29" ht="57">
      <c r="A15" s="438" t="s">
        <v>2559</v>
      </c>
      <c r="B15" s="68" t="s">
        <v>2703</v>
      </c>
      <c r="C15" s="2689"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37" t="s">
        <v>2560</v>
      </c>
      <c r="Q15" s="1808" t="str">
        <f t="shared" si="6"/>
        <v>产业集聚程度</v>
      </c>
      <c r="R15" s="772" t="s">
        <v>17</v>
      </c>
      <c r="S15" s="773">
        <f t="shared" si="0"/>
        <v>100</v>
      </c>
      <c r="T15" s="772" t="s">
        <v>17</v>
      </c>
      <c r="U15" s="773">
        <f t="shared" si="1"/>
        <v>100</v>
      </c>
      <c r="V15" s="772" t="s">
        <v>17</v>
      </c>
      <c r="W15" s="773">
        <f t="shared" si="2"/>
        <v>100</v>
      </c>
      <c r="X15" s="1811"/>
      <c r="Y15" s="3237" t="s">
        <v>2560</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38"/>
      <c r="Q16" s="1808"/>
      <c r="R16" s="772"/>
      <c r="S16" s="773"/>
      <c r="T16" s="772"/>
      <c r="U16" s="773"/>
      <c r="V16" s="772"/>
      <c r="W16" s="773"/>
      <c r="X16" s="1811"/>
      <c r="Y16" s="3238"/>
      <c r="Z16" s="1812"/>
      <c r="AA16" s="1809">
        <v>1</v>
      </c>
      <c r="AB16" s="1809">
        <v>1</v>
      </c>
      <c r="AC16" s="1809">
        <v>1</v>
      </c>
    </row>
    <row r="17" spans="1:29" ht="85.5">
      <c r="A17" s="426"/>
      <c r="B17" s="449" t="s">
        <v>2098</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38"/>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6"/>
      <c r="B18" s="454"/>
      <c r="C18" s="2605"/>
      <c r="D18" s="448"/>
      <c r="E18" s="2607"/>
      <c r="F18" s="451"/>
      <c r="G18" s="2606"/>
      <c r="H18" s="446"/>
      <c r="I18" s="2607"/>
      <c r="J18" s="446"/>
      <c r="K18" s="613"/>
      <c r="L18" s="1138"/>
      <c r="M18" s="1129"/>
      <c r="N18" s="1129"/>
      <c r="O18" s="1137"/>
      <c r="P18" s="3238"/>
      <c r="Q18" s="1808"/>
      <c r="R18" s="772"/>
      <c r="S18" s="773"/>
      <c r="T18" s="772"/>
      <c r="U18" s="773"/>
      <c r="V18" s="772"/>
      <c r="W18" s="773"/>
      <c r="X18" s="1811"/>
      <c r="Y18" s="3238"/>
      <c r="Z18" s="1812"/>
      <c r="AA18" s="1809">
        <v>1</v>
      </c>
      <c r="AB18" s="1809">
        <v>1</v>
      </c>
      <c r="AC18" s="1809">
        <v>1</v>
      </c>
    </row>
    <row r="19" spans="1:29" ht="42.75">
      <c r="A19" s="426"/>
      <c r="B19" s="449" t="s">
        <v>2688</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38"/>
      <c r="Q19" s="1808" t="str">
        <f>B19</f>
        <v>公共配套设施</v>
      </c>
      <c r="R19" s="772" t="s">
        <v>17</v>
      </c>
      <c r="S19" s="773">
        <f>F19</f>
        <v>100</v>
      </c>
      <c r="T19" s="772" t="s">
        <v>17</v>
      </c>
      <c r="U19" s="773">
        <f>H19</f>
        <v>100</v>
      </c>
      <c r="V19" s="772" t="s">
        <v>17</v>
      </c>
      <c r="W19" s="773">
        <f>J19</f>
        <v>100</v>
      </c>
      <c r="X19" s="1811"/>
      <c r="Y19" s="3238"/>
      <c r="Z19" s="1812" t="str">
        <f>Q19</f>
        <v>公共配套设施</v>
      </c>
      <c r="AA19" s="1809">
        <f t="shared" si="3"/>
        <v>1</v>
      </c>
      <c r="AB19" s="1809">
        <f t="shared" si="4"/>
        <v>1</v>
      </c>
      <c r="AC19" s="1809">
        <f t="shared" si="5"/>
        <v>1</v>
      </c>
    </row>
    <row r="20" spans="1:29" ht="15">
      <c r="A20" s="426"/>
      <c r="B20" s="454"/>
      <c r="C20" s="445"/>
      <c r="D20" s="446"/>
      <c r="E20" s="2602"/>
      <c r="F20" s="447"/>
      <c r="G20" s="2601"/>
      <c r="H20" s="446"/>
      <c r="I20" s="2602"/>
      <c r="J20" s="446"/>
      <c r="K20" s="613"/>
      <c r="L20" s="1138"/>
      <c r="M20" s="1129"/>
      <c r="N20" s="1129"/>
      <c r="O20" s="1137"/>
      <c r="P20" s="3238"/>
      <c r="Q20" s="1808"/>
      <c r="R20" s="772"/>
      <c r="S20" s="773"/>
      <c r="T20" s="772"/>
      <c r="U20" s="773"/>
      <c r="V20" s="772"/>
      <c r="W20" s="773"/>
      <c r="X20" s="1811"/>
      <c r="Y20" s="3238"/>
      <c r="Z20" s="1812"/>
      <c r="AA20" s="1809">
        <v>1</v>
      </c>
      <c r="AB20" s="1809">
        <v>1</v>
      </c>
      <c r="AC20" s="1809">
        <v>1</v>
      </c>
    </row>
    <row r="21" spans="1:29" ht="28.5">
      <c r="A21" s="426"/>
      <c r="B21" s="1382" t="s">
        <v>2689</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38"/>
      <c r="Q21" s="1808" t="str">
        <f>B21</f>
        <v>基础设施水平</v>
      </c>
      <c r="R21" s="772" t="s">
        <v>17</v>
      </c>
      <c r="S21" s="773">
        <f>F21</f>
        <v>100</v>
      </c>
      <c r="T21" s="772" t="s">
        <v>17</v>
      </c>
      <c r="U21" s="773">
        <f>H21</f>
        <v>100</v>
      </c>
      <c r="V21" s="772" t="s">
        <v>17</v>
      </c>
      <c r="W21" s="773">
        <f>J21</f>
        <v>100</v>
      </c>
      <c r="X21" s="1811"/>
      <c r="Y21" s="3238"/>
      <c r="Z21" s="1812" t="str">
        <f>Q21</f>
        <v>基础设施水平</v>
      </c>
      <c r="AA21" s="1809">
        <f t="shared" ref="AA21" si="8">D21/F21</f>
        <v>1</v>
      </c>
      <c r="AB21" s="1809">
        <f t="shared" ref="AB21" si="9">D21/H21</f>
        <v>1</v>
      </c>
      <c r="AC21" s="1809">
        <f t="shared" ref="AC21" si="10">D21/J21</f>
        <v>1</v>
      </c>
    </row>
    <row r="22" spans="1:29" ht="15">
      <c r="A22" s="426"/>
      <c r="B22" s="1382"/>
      <c r="C22" s="2605"/>
      <c r="D22" s="446"/>
      <c r="E22" s="445"/>
      <c r="F22" s="447"/>
      <c r="G22" s="445"/>
      <c r="H22" s="446"/>
      <c r="I22" s="445"/>
      <c r="J22" s="446"/>
      <c r="K22" s="1381"/>
      <c r="L22" s="1138"/>
      <c r="M22" s="1129"/>
      <c r="N22" s="1129"/>
      <c r="O22" s="1137"/>
      <c r="P22" s="3238"/>
      <c r="Q22" s="1808"/>
      <c r="R22" s="772"/>
      <c r="S22" s="773"/>
      <c r="T22" s="772"/>
      <c r="U22" s="773"/>
      <c r="V22" s="772"/>
      <c r="W22" s="773"/>
      <c r="X22" s="1811"/>
      <c r="Y22" s="3238"/>
      <c r="Z22" s="1812"/>
      <c r="AA22" s="1809">
        <v>1</v>
      </c>
      <c r="AB22" s="1809">
        <v>1</v>
      </c>
      <c r="AC22" s="1809">
        <v>1</v>
      </c>
    </row>
    <row r="23" spans="1:29" ht="71.25">
      <c r="A23" s="426"/>
      <c r="B23" s="449" t="s">
        <v>2690</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38"/>
      <c r="Q23" s="1808" t="str">
        <f>B23</f>
        <v>环境质量</v>
      </c>
      <c r="R23" s="772" t="s">
        <v>17</v>
      </c>
      <c r="S23" s="773">
        <f>F23</f>
        <v>100</v>
      </c>
      <c r="T23" s="772" t="s">
        <v>17</v>
      </c>
      <c r="U23" s="773">
        <f>H23</f>
        <v>100</v>
      </c>
      <c r="V23" s="772" t="s">
        <v>17</v>
      </c>
      <c r="W23" s="773">
        <f>J23</f>
        <v>100</v>
      </c>
      <c r="X23" s="1811"/>
      <c r="Y23" s="3238"/>
      <c r="Z23" s="1812" t="str">
        <f>Q23</f>
        <v>环境质量</v>
      </c>
      <c r="AA23" s="1809">
        <f t="shared" si="3"/>
        <v>1</v>
      </c>
      <c r="AB23" s="1809">
        <f t="shared" si="4"/>
        <v>1</v>
      </c>
      <c r="AC23" s="1809">
        <f t="shared" si="5"/>
        <v>1</v>
      </c>
    </row>
    <row r="24" spans="1:29" ht="15">
      <c r="A24" s="426"/>
      <c r="B24" s="1382"/>
      <c r="C24" s="445"/>
      <c r="D24" s="446"/>
      <c r="E24" s="2602"/>
      <c r="F24" s="447"/>
      <c r="G24" s="2601"/>
      <c r="H24" s="446"/>
      <c r="I24" s="2602"/>
      <c r="J24" s="446"/>
      <c r="K24" s="613"/>
      <c r="L24" s="1138"/>
      <c r="M24" s="1129"/>
      <c r="N24" s="1129"/>
      <c r="O24" s="1137"/>
      <c r="P24" s="3238"/>
      <c r="Q24" s="1808"/>
      <c r="R24" s="772"/>
      <c r="S24" s="773"/>
      <c r="T24" s="772"/>
      <c r="U24" s="773"/>
      <c r="V24" s="772"/>
      <c r="W24" s="773"/>
      <c r="X24" s="1811"/>
      <c r="Y24" s="3238"/>
      <c r="Z24" s="1812"/>
      <c r="AA24" s="1809">
        <v>1</v>
      </c>
      <c r="AB24" s="1809">
        <v>1</v>
      </c>
      <c r="AC24" s="1809">
        <v>1</v>
      </c>
    </row>
    <row r="25" spans="1:29" ht="15">
      <c r="A25" s="403"/>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38"/>
      <c r="Q25" s="1808">
        <f>B25</f>
        <v>111</v>
      </c>
      <c r="R25" s="772" t="s">
        <v>17</v>
      </c>
      <c r="S25" s="773">
        <f>F25</f>
        <v>100</v>
      </c>
      <c r="T25" s="772" t="s">
        <v>17</v>
      </c>
      <c r="U25" s="773">
        <f>H25</f>
        <v>100</v>
      </c>
      <c r="V25" s="772" t="s">
        <v>17</v>
      </c>
      <c r="W25" s="773">
        <f>J25</f>
        <v>100</v>
      </c>
      <c r="X25" s="1811"/>
      <c r="Y25" s="3238"/>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38"/>
      <c r="Q26" s="1808">
        <f t="shared" ref="Q26:Q40" si="11">B26</f>
        <v>111</v>
      </c>
      <c r="R26" s="772" t="s">
        <v>17</v>
      </c>
      <c r="S26" s="773">
        <f>F26</f>
        <v>100</v>
      </c>
      <c r="T26" s="772" t="s">
        <v>17</v>
      </c>
      <c r="U26" s="773">
        <f>H26</f>
        <v>100</v>
      </c>
      <c r="V26" s="772" t="s">
        <v>17</v>
      </c>
      <c r="W26" s="773">
        <f>J26</f>
        <v>100</v>
      </c>
      <c r="X26" s="1811"/>
      <c r="Y26" s="3238"/>
      <c r="Z26" s="1812">
        <f>Q26</f>
        <v>111</v>
      </c>
      <c r="AA26" s="1809">
        <f t="shared" si="3"/>
        <v>1</v>
      </c>
      <c r="AB26" s="1809">
        <f t="shared" si="4"/>
        <v>1</v>
      </c>
      <c r="AC26" s="1809">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38"/>
      <c r="Q27" s="1793">
        <f t="shared" si="11"/>
        <v>111</v>
      </c>
      <c r="R27" s="768" t="s">
        <v>17</v>
      </c>
      <c r="S27" s="769">
        <f>F27</f>
        <v>100</v>
      </c>
      <c r="T27" s="768" t="s">
        <v>17</v>
      </c>
      <c r="U27" s="769">
        <f>H27</f>
        <v>100</v>
      </c>
      <c r="V27" s="768" t="s">
        <v>17</v>
      </c>
      <c r="W27" s="769">
        <f>J27</f>
        <v>100</v>
      </c>
      <c r="X27" s="770"/>
      <c r="Y27" s="3238"/>
      <c r="Z27" s="54">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38"/>
      <c r="Q28" s="1808">
        <f t="shared" si="11"/>
        <v>111</v>
      </c>
      <c r="R28" s="772" t="s">
        <v>17</v>
      </c>
      <c r="S28" s="773">
        <f t="shared" ref="S28:S40" si="12">F28</f>
        <v>100</v>
      </c>
      <c r="T28" s="772" t="s">
        <v>17</v>
      </c>
      <c r="U28" s="773">
        <f t="shared" ref="U28:U40" si="13">H28</f>
        <v>100</v>
      </c>
      <c r="V28" s="772" t="s">
        <v>17</v>
      </c>
      <c r="W28" s="773">
        <f t="shared" ref="W28:W40" si="14">J28</f>
        <v>100</v>
      </c>
      <c r="X28" s="1811"/>
      <c r="Y28" s="3238"/>
      <c r="Z28" s="1812">
        <f t="shared" ref="Z28:Z40" si="15">Q28</f>
        <v>111</v>
      </c>
      <c r="AA28" s="1809">
        <f t="shared" si="3"/>
        <v>1</v>
      </c>
      <c r="AB28" s="1809">
        <f t="shared" si="4"/>
        <v>1</v>
      </c>
      <c r="AC28" s="1809">
        <f t="shared" si="5"/>
        <v>1</v>
      </c>
    </row>
    <row r="29" spans="1:29" ht="15">
      <c r="A29" s="464" t="s">
        <v>2563</v>
      </c>
      <c r="B29" s="70" t="s">
        <v>2693</v>
      </c>
      <c r="C29" s="2675"/>
      <c r="D29" s="465">
        <v>100</v>
      </c>
      <c r="E29" s="2675"/>
      <c r="F29" s="459">
        <f>SUMIF(88:88,E29,89:89)-SUMIF(88:88,C29,89:89)+100</f>
        <v>100</v>
      </c>
      <c r="G29" s="2675"/>
      <c r="H29" s="433">
        <f>SUMIF(88:88,G29,89:89)-SUMIF(88:88,C29,89:89)+100</f>
        <v>100</v>
      </c>
      <c r="I29" s="2675"/>
      <c r="J29" s="465">
        <f>SUMIF(88:88,I29,89:89)-SUMIF(88:88,C29,89:89)+100</f>
        <v>100</v>
      </c>
      <c r="K29" s="610"/>
      <c r="L29" s="1138"/>
      <c r="M29" s="1129"/>
      <c r="N29" s="1129"/>
      <c r="O29" s="1137"/>
      <c r="P29" s="3239" t="s">
        <v>2565</v>
      </c>
      <c r="Q29" s="1808" t="str">
        <f t="shared" si="11"/>
        <v>建筑类型</v>
      </c>
      <c r="R29" s="772" t="s">
        <v>17</v>
      </c>
      <c r="S29" s="773">
        <f t="shared" si="12"/>
        <v>100</v>
      </c>
      <c r="T29" s="772" t="s">
        <v>17</v>
      </c>
      <c r="U29" s="773">
        <f t="shared" si="13"/>
        <v>100</v>
      </c>
      <c r="V29" s="772" t="s">
        <v>17</v>
      </c>
      <c r="W29" s="773">
        <f t="shared" si="14"/>
        <v>100</v>
      </c>
      <c r="X29" s="1811"/>
      <c r="Y29" s="3240" t="s">
        <v>2565</v>
      </c>
      <c r="Z29" s="1812" t="str">
        <f t="shared" si="15"/>
        <v>建筑类型</v>
      </c>
      <c r="AA29" s="1809">
        <f t="shared" si="3"/>
        <v>1</v>
      </c>
      <c r="AB29" s="1809">
        <f t="shared" si="4"/>
        <v>1</v>
      </c>
      <c r="AC29" s="1809">
        <f t="shared" si="5"/>
        <v>1</v>
      </c>
    </row>
    <row r="30" spans="1:29" s="469" customFormat="1" ht="15">
      <c r="A30" s="466"/>
      <c r="B30" s="420" t="s">
        <v>2566</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6"/>
      <c r="M30" s="1139"/>
      <c r="N30" s="1139"/>
      <c r="O30" s="1140"/>
      <c r="P30" s="3240"/>
      <c r="Q30" s="774" t="str">
        <f t="shared" si="11"/>
        <v>项目建筑规模</v>
      </c>
      <c r="R30" s="775" t="s">
        <v>17</v>
      </c>
      <c r="S30" s="776" t="e">
        <f t="shared" si="12"/>
        <v>#N/A</v>
      </c>
      <c r="T30" s="775" t="s">
        <v>17</v>
      </c>
      <c r="U30" s="776" t="e">
        <f t="shared" si="13"/>
        <v>#N/A</v>
      </c>
      <c r="V30" s="775" t="s">
        <v>17</v>
      </c>
      <c r="W30" s="776" t="e">
        <f t="shared" si="14"/>
        <v>#N/A</v>
      </c>
      <c r="X30" s="777"/>
      <c r="Y30" s="3240"/>
      <c r="Z30" s="778" t="str">
        <f t="shared" si="15"/>
        <v>项目建筑规模</v>
      </c>
      <c r="AA30" s="1809" t="e">
        <f t="shared" si="3"/>
        <v>#N/A</v>
      </c>
      <c r="AB30" s="1809" t="e">
        <f t="shared" si="4"/>
        <v>#N/A</v>
      </c>
      <c r="AC30" s="1809"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40"/>
      <c r="Q31" s="1808" t="str">
        <f t="shared" si="11"/>
        <v>建筑结构</v>
      </c>
      <c r="R31" s="772" t="s">
        <v>17</v>
      </c>
      <c r="S31" s="773">
        <f t="shared" si="12"/>
        <v>100</v>
      </c>
      <c r="T31" s="772" t="s">
        <v>17</v>
      </c>
      <c r="U31" s="773">
        <f t="shared" si="13"/>
        <v>100</v>
      </c>
      <c r="V31" s="772" t="s">
        <v>17</v>
      </c>
      <c r="W31" s="773">
        <f t="shared" si="14"/>
        <v>100</v>
      </c>
      <c r="X31" s="1811"/>
      <c r="Y31" s="3240"/>
      <c r="Z31" s="1812" t="str">
        <f t="shared" si="15"/>
        <v>建筑结构</v>
      </c>
      <c r="AA31" s="1809">
        <f t="shared" si="3"/>
        <v>1</v>
      </c>
      <c r="AB31" s="1809">
        <f t="shared" si="4"/>
        <v>1</v>
      </c>
      <c r="AC31" s="1809">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40"/>
      <c r="Q32" s="1808" t="str">
        <f t="shared" si="11"/>
        <v>公共部分装修</v>
      </c>
      <c r="R32" s="772" t="s">
        <v>17</v>
      </c>
      <c r="S32" s="773">
        <f t="shared" si="12"/>
        <v>100</v>
      </c>
      <c r="T32" s="772" t="s">
        <v>17</v>
      </c>
      <c r="U32" s="773">
        <f t="shared" si="13"/>
        <v>100</v>
      </c>
      <c r="V32" s="772" t="s">
        <v>17</v>
      </c>
      <c r="W32" s="773">
        <f t="shared" si="14"/>
        <v>100</v>
      </c>
      <c r="X32" s="1811"/>
      <c r="Y32" s="3240"/>
      <c r="Z32" s="1812" t="str">
        <f t="shared" si="15"/>
        <v>公共部分装修</v>
      </c>
      <c r="AA32" s="1809">
        <f t="shared" si="3"/>
        <v>1</v>
      </c>
      <c r="AB32" s="1809">
        <f t="shared" si="4"/>
        <v>1</v>
      </c>
      <c r="AC32" s="1809">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40"/>
      <c r="Q33" s="1808" t="str">
        <f t="shared" si="11"/>
        <v>成新度</v>
      </c>
      <c r="R33" s="772" t="s">
        <v>17</v>
      </c>
      <c r="S33" s="773" t="e">
        <f t="shared" si="12"/>
        <v>#N/A</v>
      </c>
      <c r="T33" s="772" t="s">
        <v>17</v>
      </c>
      <c r="U33" s="773" t="e">
        <f t="shared" si="13"/>
        <v>#N/A</v>
      </c>
      <c r="V33" s="772" t="s">
        <v>17</v>
      </c>
      <c r="W33" s="773" t="e">
        <f t="shared" si="14"/>
        <v>#N/A</v>
      </c>
      <c r="X33" s="1811"/>
      <c r="Y33" s="3240"/>
      <c r="Z33" s="1812" t="str">
        <f t="shared" si="15"/>
        <v>成新度</v>
      </c>
      <c r="AA33" s="1809" t="e">
        <f t="shared" si="3"/>
        <v>#N/A</v>
      </c>
      <c r="AB33" s="1809" t="e">
        <f t="shared" si="4"/>
        <v>#N/A</v>
      </c>
      <c r="AC33" s="1809" t="e">
        <f t="shared" si="5"/>
        <v>#N/A</v>
      </c>
    </row>
    <row r="34" spans="1:29" s="116" customFormat="1" ht="15">
      <c r="A34" s="471"/>
      <c r="B34" s="420" t="s">
        <v>2695</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40"/>
      <c r="Q34" s="1793" t="str">
        <f t="shared" si="11"/>
        <v>物业管理</v>
      </c>
      <c r="R34" s="768" t="s">
        <v>17</v>
      </c>
      <c r="S34" s="769">
        <f t="shared" si="12"/>
        <v>100</v>
      </c>
      <c r="T34" s="768" t="s">
        <v>17</v>
      </c>
      <c r="U34" s="769">
        <f t="shared" si="13"/>
        <v>100</v>
      </c>
      <c r="V34" s="768" t="s">
        <v>17</v>
      </c>
      <c r="W34" s="769">
        <f t="shared" si="14"/>
        <v>100</v>
      </c>
      <c r="X34" s="770"/>
      <c r="Y34" s="3240"/>
      <c r="Z34" s="54" t="str">
        <f t="shared" si="15"/>
        <v>物业管理</v>
      </c>
      <c r="AA34" s="771">
        <f t="shared" si="3"/>
        <v>1</v>
      </c>
      <c r="AB34" s="771">
        <f t="shared" si="4"/>
        <v>1</v>
      </c>
      <c r="AC34" s="771">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40" t="s">
        <v>2565</v>
      </c>
      <c r="Q35" s="1808" t="str">
        <f t="shared" si="11"/>
        <v>市政基础设施</v>
      </c>
      <c r="R35" s="772" t="s">
        <v>17</v>
      </c>
      <c r="S35" s="773">
        <f t="shared" si="12"/>
        <v>100</v>
      </c>
      <c r="T35" s="772" t="s">
        <v>17</v>
      </c>
      <c r="U35" s="773">
        <f t="shared" si="13"/>
        <v>100</v>
      </c>
      <c r="V35" s="772" t="s">
        <v>17</v>
      </c>
      <c r="W35" s="773">
        <f t="shared" si="14"/>
        <v>100</v>
      </c>
      <c r="X35" s="1811"/>
      <c r="Y35" s="3240" t="s">
        <v>2565</v>
      </c>
      <c r="Z35" s="1812" t="str">
        <f t="shared" si="15"/>
        <v>市政基础设施</v>
      </c>
      <c r="AA35" s="1809">
        <f t="shared" si="3"/>
        <v>1</v>
      </c>
      <c r="AB35" s="1809">
        <f t="shared" si="4"/>
        <v>1</v>
      </c>
      <c r="AC35" s="1809">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40"/>
      <c r="Q36" s="1808" t="str">
        <f t="shared" si="11"/>
        <v>内部装修</v>
      </c>
      <c r="R36" s="772" t="s">
        <v>17</v>
      </c>
      <c r="S36" s="773">
        <f t="shared" si="12"/>
        <v>100</v>
      </c>
      <c r="T36" s="772" t="s">
        <v>17</v>
      </c>
      <c r="U36" s="773">
        <f t="shared" si="13"/>
        <v>100</v>
      </c>
      <c r="V36" s="772" t="s">
        <v>17</v>
      </c>
      <c r="W36" s="773">
        <f t="shared" si="14"/>
        <v>100</v>
      </c>
      <c r="X36" s="1811"/>
      <c r="Y36" s="3240"/>
      <c r="Z36" s="1812" t="str">
        <f t="shared" si="15"/>
        <v>内部装修</v>
      </c>
      <c r="AA36" s="1809">
        <f t="shared" si="3"/>
        <v>1</v>
      </c>
      <c r="AB36" s="1809">
        <f t="shared" si="4"/>
        <v>1</v>
      </c>
      <c r="AC36" s="1809">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40"/>
      <c r="Q37" s="1808" t="str">
        <f t="shared" si="11"/>
        <v>内部装修状况</v>
      </c>
      <c r="R37" s="772" t="s">
        <v>17</v>
      </c>
      <c r="S37" s="773">
        <f t="shared" si="12"/>
        <v>100</v>
      </c>
      <c r="T37" s="772" t="s">
        <v>17</v>
      </c>
      <c r="U37" s="773">
        <f t="shared" si="13"/>
        <v>100</v>
      </c>
      <c r="V37" s="772" t="s">
        <v>17</v>
      </c>
      <c r="W37" s="773">
        <f t="shared" si="14"/>
        <v>100</v>
      </c>
      <c r="X37" s="1811"/>
      <c r="Y37" s="3240"/>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40"/>
      <c r="Q38" s="774">
        <f t="shared" si="11"/>
        <v>111</v>
      </c>
      <c r="R38" s="775" t="s">
        <v>17</v>
      </c>
      <c r="S38" s="776">
        <f t="shared" si="12"/>
        <v>100</v>
      </c>
      <c r="T38" s="775" t="s">
        <v>17</v>
      </c>
      <c r="U38" s="776">
        <f t="shared" si="13"/>
        <v>100</v>
      </c>
      <c r="V38" s="775" t="s">
        <v>17</v>
      </c>
      <c r="W38" s="776">
        <f t="shared" si="14"/>
        <v>100</v>
      </c>
      <c r="X38" s="777"/>
      <c r="Y38" s="3240"/>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40"/>
      <c r="Q39" s="1808">
        <f t="shared" si="11"/>
        <v>111</v>
      </c>
      <c r="R39" s="772" t="s">
        <v>17</v>
      </c>
      <c r="S39" s="773">
        <f t="shared" si="12"/>
        <v>100</v>
      </c>
      <c r="T39" s="772" t="s">
        <v>17</v>
      </c>
      <c r="U39" s="773">
        <f t="shared" si="13"/>
        <v>100</v>
      </c>
      <c r="V39" s="772" t="s">
        <v>17</v>
      </c>
      <c r="W39" s="773">
        <f t="shared" si="14"/>
        <v>100</v>
      </c>
      <c r="X39" s="1811"/>
      <c r="Y39" s="3240"/>
      <c r="Z39" s="1812">
        <f t="shared" si="15"/>
        <v>111</v>
      </c>
      <c r="AA39" s="1809">
        <f t="shared" si="3"/>
        <v>1</v>
      </c>
      <c r="AB39" s="1809">
        <f t="shared" si="4"/>
        <v>1</v>
      </c>
      <c r="AC39" s="1809">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59"/>
      <c r="Q40" s="1808">
        <f t="shared" si="11"/>
        <v>111</v>
      </c>
      <c r="R40" s="772" t="s">
        <v>17</v>
      </c>
      <c r="S40" s="773">
        <f t="shared" si="12"/>
        <v>100</v>
      </c>
      <c r="T40" s="772" t="s">
        <v>17</v>
      </c>
      <c r="U40" s="773">
        <f t="shared" si="13"/>
        <v>100</v>
      </c>
      <c r="V40" s="772" t="s">
        <v>17</v>
      </c>
      <c r="W40" s="773">
        <f t="shared" si="14"/>
        <v>100</v>
      </c>
      <c r="X40" s="1811"/>
      <c r="Y40" s="3259"/>
      <c r="Z40" s="1812">
        <f t="shared" si="15"/>
        <v>111</v>
      </c>
      <c r="AA40" s="1809">
        <f t="shared" si="3"/>
        <v>1</v>
      </c>
      <c r="AB40" s="1809">
        <f t="shared" si="4"/>
        <v>1</v>
      </c>
      <c r="AC40" s="1809">
        <f t="shared" si="5"/>
        <v>1</v>
      </c>
    </row>
    <row r="41" spans="1:29" ht="15">
      <c r="A41" s="477" t="s">
        <v>2577</v>
      </c>
      <c r="B41" s="478"/>
      <c r="C41" s="1405" t="s">
        <v>1</v>
      </c>
      <c r="D41" s="1406"/>
      <c r="E41" s="1407"/>
      <c r="F41" s="1408"/>
      <c r="G41" s="1409"/>
      <c r="H41" s="1410"/>
      <c r="I41" s="1407"/>
      <c r="J41" s="1410"/>
      <c r="K41" s="781"/>
      <c r="L41" s="1141"/>
      <c r="M41" s="1142"/>
      <c r="N41" s="1129"/>
      <c r="O41" s="1142"/>
      <c r="P41" s="3222" t="str">
        <f>A41</f>
        <v>成交单价（元/平方米）</v>
      </c>
      <c r="Q41" s="3222"/>
      <c r="R41" s="3255">
        <f>E41</f>
        <v>0</v>
      </c>
      <c r="S41" s="3255"/>
      <c r="T41" s="3255">
        <f>G41</f>
        <v>0</v>
      </c>
      <c r="U41" s="3255"/>
      <c r="V41" s="3255">
        <f>I41</f>
        <v>0</v>
      </c>
      <c r="W41" s="3255"/>
      <c r="X41" s="757"/>
      <c r="Y41" s="779"/>
      <c r="Z41" s="757"/>
      <c r="AA41" s="757"/>
      <c r="AB41" s="757"/>
      <c r="AC41" s="757"/>
    </row>
    <row r="42" spans="1:29" ht="15.75" thickBot="1">
      <c r="A42" s="484" t="s">
        <v>2669</v>
      </c>
      <c r="B42" s="485"/>
      <c r="C42" s="1411" t="e">
        <f>R43</f>
        <v>#DIV/0!</v>
      </c>
      <c r="D42" s="1412"/>
      <c r="E42" s="1413" t="e">
        <f>R42</f>
        <v>#DIV/0!</v>
      </c>
      <c r="F42" s="1413"/>
      <c r="G42" s="1411" t="e">
        <f>T42</f>
        <v>#DIV/0!</v>
      </c>
      <c r="H42" s="1412"/>
      <c r="I42" s="1413" t="e">
        <f>V42</f>
        <v>#DIV/0!</v>
      </c>
      <c r="J42" s="1412"/>
      <c r="K42" s="782"/>
      <c r="L42" s="1141"/>
      <c r="M42" s="1142"/>
      <c r="N42" s="1129"/>
      <c r="O42" s="1142"/>
      <c r="P42" s="3222" t="str">
        <f>A42</f>
        <v>比较价值（元/平方米）</v>
      </c>
      <c r="Q42" s="3222"/>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7"/>
      <c r="Y42" s="757"/>
      <c r="Z42" s="757"/>
      <c r="AA42" s="757"/>
      <c r="AB42" s="757"/>
      <c r="AC42" s="757"/>
    </row>
    <row r="43" spans="1:29" ht="15.75" thickBot="1">
      <c r="A43" s="490" t="s">
        <v>2670</v>
      </c>
      <c r="B43" s="491"/>
      <c r="C43" s="1415" t="e">
        <f>R43</f>
        <v>#DIV/0!</v>
      </c>
      <c r="D43" s="1415"/>
      <c r="E43" s="1415"/>
      <c r="F43" s="1415"/>
      <c r="G43" s="1415"/>
      <c r="H43" s="1415"/>
      <c r="I43" s="1415"/>
      <c r="J43" s="1415"/>
      <c r="K43" s="783"/>
      <c r="L43" s="1141"/>
      <c r="M43" s="1142"/>
      <c r="N43" s="1142"/>
      <c r="O43" s="1142"/>
      <c r="P43" s="3242" t="str">
        <f>A43</f>
        <v>估价对象XX用房的比较价值（楼面单价，元/平方米）</v>
      </c>
      <c r="Q43" s="3243"/>
      <c r="R43" s="3254" t="e">
        <f>IF(F1="售价",ROUND(AVERAGE(R42:V42),0),ROUND(AVERAGE(R42:V42),1))</f>
        <v>#DIV/0!</v>
      </c>
      <c r="S43" s="3254"/>
      <c r="T43" s="3254"/>
      <c r="U43" s="3254"/>
      <c r="V43" s="3254"/>
      <c r="W43" s="3254"/>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1"/>
      <c r="Q51" s="502"/>
    </row>
    <row r="52" spans="1:17" s="506" customFormat="1" ht="15">
      <c r="A52" s="503" t="s">
        <v>2548</v>
      </c>
      <c r="B52" s="504"/>
      <c r="C52" s="1572" t="str">
        <f>YEAR(C7)&amp;"-"&amp;MONTH(C7)</f>
        <v>2018-3</v>
      </c>
      <c r="D52" s="1573">
        <f>EDATE(C52,-1)</f>
        <v>43132</v>
      </c>
      <c r="E52" s="1573">
        <f t="shared" ref="E52:O52" si="16">EDATE(D52,-1)</f>
        <v>43101</v>
      </c>
      <c r="F52" s="1573">
        <f t="shared" si="16"/>
        <v>43070</v>
      </c>
      <c r="G52" s="1573">
        <f t="shared" si="16"/>
        <v>43040</v>
      </c>
      <c r="H52" s="1573">
        <f t="shared" si="16"/>
        <v>43009</v>
      </c>
      <c r="I52" s="1573">
        <f t="shared" si="16"/>
        <v>42979</v>
      </c>
      <c r="J52" s="1573">
        <f t="shared" si="16"/>
        <v>42948</v>
      </c>
      <c r="K52" s="1573">
        <f t="shared" si="16"/>
        <v>42917</v>
      </c>
      <c r="L52" s="1573">
        <f t="shared" si="16"/>
        <v>42887</v>
      </c>
      <c r="M52" s="1573">
        <f t="shared" si="16"/>
        <v>42856</v>
      </c>
      <c r="N52" s="1573">
        <f t="shared" si="16"/>
        <v>42826</v>
      </c>
      <c r="O52" s="1573">
        <f t="shared" si="16"/>
        <v>42795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2588</v>
      </c>
      <c r="B57" s="526" t="s">
        <v>2554</v>
      </c>
      <c r="C57" s="527">
        <f>C9</f>
        <v>0</v>
      </c>
      <c r="D57" s="528"/>
      <c r="E57" s="528"/>
      <c r="F57" s="528"/>
      <c r="G57" s="528"/>
      <c r="H57" s="528"/>
      <c r="I57" s="528"/>
      <c r="J57" s="528"/>
      <c r="K57" s="529"/>
      <c r="L57" s="530"/>
      <c r="M57" s="531"/>
      <c r="N57" s="1150"/>
      <c r="O57" s="1150"/>
      <c r="P57" s="44"/>
      <c r="Q57" s="502"/>
    </row>
    <row r="58" spans="1:17" ht="15.75" thickBot="1">
      <c r="A58" s="532"/>
      <c r="B58" s="533"/>
      <c r="C58" s="534">
        <v>100</v>
      </c>
      <c r="D58" s="534"/>
      <c r="E58" s="534"/>
      <c r="F58" s="534"/>
      <c r="G58" s="534"/>
      <c r="H58" s="534"/>
      <c r="I58" s="534"/>
      <c r="J58" s="534"/>
      <c r="K58" s="534"/>
      <c r="L58" s="534"/>
      <c r="M58" s="535"/>
      <c r="N58" s="1151"/>
      <c r="O58" s="1151"/>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50"/>
      <c r="O59" s="1150"/>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4"/>
      <c r="Q61" s="502"/>
    </row>
    <row r="62" spans="1:17" ht="15">
      <c r="A62" s="532"/>
      <c r="B62" s="546"/>
      <c r="C62" s="547"/>
      <c r="D62" s="547"/>
      <c r="E62" s="547"/>
      <c r="F62" s="547"/>
      <c r="G62" s="547"/>
      <c r="H62" s="547"/>
      <c r="I62" s="547"/>
      <c r="J62" s="547"/>
      <c r="K62" s="548"/>
      <c r="L62" s="549"/>
      <c r="M62" s="550"/>
      <c r="N62" s="1150"/>
      <c r="O62" s="1150"/>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4"/>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50"/>
      <c r="O72" s="1150"/>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50"/>
      <c r="O74" s="1150"/>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80"/>
      <c r="N76" s="1151"/>
      <c r="O76" s="1151"/>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50"/>
      <c r="O78" s="1150"/>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4"/>
      <c r="Q79" s="502"/>
    </row>
    <row r="80" spans="1:17" s="116" customFormat="1" ht="15.75" thickTop="1">
      <c r="A80" s="577"/>
      <c r="B80" s="536">
        <f>B25</f>
        <v>111</v>
      </c>
      <c r="C80" s="552"/>
      <c r="D80" s="552"/>
      <c r="E80" s="552"/>
      <c r="F80" s="552"/>
      <c r="G80" s="552"/>
      <c r="H80" s="552"/>
      <c r="I80" s="552"/>
      <c r="J80" s="552"/>
      <c r="K80" s="552"/>
      <c r="L80" s="578"/>
      <c r="M80" s="579"/>
      <c r="N80" s="1149"/>
      <c r="O80" s="1149"/>
      <c r="P80" s="44"/>
      <c r="Q80" s="502"/>
    </row>
    <row r="81" spans="1:17" s="116" customFormat="1" ht="15.75" thickBot="1">
      <c r="A81" s="577"/>
      <c r="B81" s="541"/>
      <c r="C81" s="558"/>
      <c r="D81" s="534"/>
      <c r="E81" s="534"/>
      <c r="F81" s="534"/>
      <c r="G81" s="534"/>
      <c r="H81" s="534"/>
      <c r="I81" s="534"/>
      <c r="J81" s="534"/>
      <c r="K81" s="534"/>
      <c r="L81" s="534"/>
      <c r="M81" s="535"/>
      <c r="N81" s="1151"/>
      <c r="O81" s="1151"/>
      <c r="P81" s="44"/>
      <c r="Q81" s="502"/>
    </row>
    <row r="82" spans="1:17" s="116" customFormat="1" ht="15.75" thickTop="1">
      <c r="A82" s="577"/>
      <c r="B82" s="536">
        <f>B26</f>
        <v>111</v>
      </c>
      <c r="C82" s="552"/>
      <c r="D82" s="552"/>
      <c r="E82" s="552"/>
      <c r="F82" s="552"/>
      <c r="G82" s="552"/>
      <c r="H82" s="552"/>
      <c r="I82" s="552"/>
      <c r="J82" s="552"/>
      <c r="K82" s="552"/>
      <c r="L82" s="578"/>
      <c r="M82" s="579"/>
      <c r="N82" s="1149"/>
      <c r="O82" s="1149"/>
      <c r="P82" s="44"/>
      <c r="Q82" s="502"/>
    </row>
    <row r="83" spans="1:17" s="116" customFormat="1" ht="15.75" thickBot="1">
      <c r="A83" s="577"/>
      <c r="B83" s="541"/>
      <c r="C83" s="558"/>
      <c r="D83" s="534"/>
      <c r="E83" s="534"/>
      <c r="F83" s="534"/>
      <c r="G83" s="534"/>
      <c r="H83" s="534"/>
      <c r="I83" s="534"/>
      <c r="J83" s="534"/>
      <c r="K83" s="534"/>
      <c r="L83" s="534"/>
      <c r="M83" s="535"/>
      <c r="N83" s="1151"/>
      <c r="O83" s="1151"/>
      <c r="P83" s="44"/>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4"/>
      <c r="Q86" s="502"/>
    </row>
    <row r="87" spans="1:17" ht="15.75" thickBot="1">
      <c r="A87" s="2632"/>
      <c r="B87" s="567"/>
      <c r="C87" s="568"/>
      <c r="D87" s="568"/>
      <c r="E87" s="568"/>
      <c r="F87" s="568"/>
      <c r="G87" s="589"/>
      <c r="H87" s="589"/>
      <c r="I87" s="589"/>
      <c r="J87" s="589"/>
      <c r="K87" s="589"/>
      <c r="L87" s="589"/>
      <c r="M87" s="590"/>
      <c r="N87" s="1151"/>
      <c r="O87" s="1151"/>
      <c r="P87" s="44"/>
      <c r="Q87" s="502"/>
    </row>
    <row r="88" spans="1:17">
      <c r="A88" s="525" t="s">
        <v>2563</v>
      </c>
      <c r="B88" s="526" t="s">
        <v>2612</v>
      </c>
      <c r="C88" s="528"/>
      <c r="D88" s="528"/>
      <c r="E88" s="528"/>
      <c r="F88" s="528"/>
      <c r="G88" s="528"/>
      <c r="H88" s="528"/>
      <c r="I88" s="528"/>
      <c r="J88" s="528"/>
      <c r="K88" s="529"/>
      <c r="L88" s="530"/>
      <c r="M88" s="531"/>
      <c r="N88" s="1150"/>
      <c r="O88" s="1150"/>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4"/>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2614</v>
      </c>
      <c r="C93" s="552"/>
      <c r="D93" s="552"/>
      <c r="E93" s="581"/>
      <c r="F93" s="581"/>
      <c r="G93" s="581"/>
      <c r="H93" s="581"/>
      <c r="I93" s="581"/>
      <c r="J93" s="581"/>
      <c r="K93" s="582"/>
      <c r="L93" s="583"/>
      <c r="M93" s="584"/>
      <c r="N93" s="1150"/>
      <c r="O93" s="1150"/>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4"/>
      <c r="Q94" s="502"/>
    </row>
    <row r="95" spans="1:17" ht="15" thickTop="1">
      <c r="A95" s="597"/>
      <c r="B95" s="536" t="s">
        <v>2616</v>
      </c>
      <c r="C95" s="552"/>
      <c r="D95" s="552"/>
      <c r="E95" s="552"/>
      <c r="F95" s="581"/>
      <c r="G95" s="581"/>
      <c r="H95" s="581"/>
      <c r="I95" s="581"/>
      <c r="J95" s="581"/>
      <c r="K95" s="582"/>
      <c r="L95" s="583"/>
      <c r="M95" s="584"/>
      <c r="N95" s="1150"/>
      <c r="O95" s="1150"/>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4"/>
      <c r="Q97" s="502"/>
    </row>
    <row r="98" spans="1:17">
      <c r="A98" s="597"/>
      <c r="B98" s="544"/>
      <c r="C98" s="601">
        <v>0.5</v>
      </c>
      <c r="D98" s="601">
        <v>0.6</v>
      </c>
      <c r="E98" s="601">
        <v>0.7</v>
      </c>
      <c r="F98" s="601">
        <v>0.8</v>
      </c>
      <c r="G98" s="601">
        <v>0.9</v>
      </c>
      <c r="H98" s="601">
        <v>1.0001</v>
      </c>
      <c r="I98" s="621"/>
      <c r="J98" s="621"/>
      <c r="K98" s="622"/>
      <c r="L98" s="623"/>
      <c r="M98" s="624"/>
      <c r="N98" s="1150"/>
      <c r="O98" s="1150"/>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4"/>
      <c r="Q99" s="502"/>
    </row>
    <row r="100" spans="1:17" s="469" customFormat="1" ht="15" thickTop="1">
      <c r="A100" s="591"/>
      <c r="B100" s="536" t="s">
        <v>2617</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2618</v>
      </c>
      <c r="C102" s="552"/>
      <c r="D102" s="552"/>
      <c r="E102" s="552"/>
      <c r="F102" s="552"/>
      <c r="G102" s="552"/>
      <c r="H102" s="581"/>
      <c r="I102" s="581"/>
      <c r="J102" s="581"/>
      <c r="K102" s="582"/>
      <c r="L102" s="583"/>
      <c r="M102" s="584"/>
      <c r="N102" s="1150"/>
      <c r="O102" s="1150"/>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4"/>
      <c r="Q103" s="502"/>
    </row>
    <row r="104" spans="1:17" ht="15" thickTop="1">
      <c r="A104" s="597"/>
      <c r="B104" s="536" t="s">
        <v>2620</v>
      </c>
      <c r="C104" s="552"/>
      <c r="D104" s="552"/>
      <c r="E104" s="552"/>
      <c r="F104" s="552"/>
      <c r="G104" s="552"/>
      <c r="H104" s="581"/>
      <c r="I104" s="581"/>
      <c r="J104" s="581"/>
      <c r="K104" s="582"/>
      <c r="L104" s="583"/>
      <c r="M104" s="584"/>
      <c r="N104" s="1150"/>
      <c r="O104" s="1150"/>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4"/>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4"/>
      <c r="Q110" s="502"/>
    </row>
    <row r="111" spans="1:17" ht="15.75" thickBot="1">
      <c r="A111" s="532"/>
      <c r="B111" s="541"/>
      <c r="C111" s="558"/>
      <c r="D111" s="534"/>
      <c r="E111" s="534"/>
      <c r="F111" s="534"/>
      <c r="G111" s="558"/>
      <c r="H111" s="560"/>
      <c r="I111" s="560"/>
      <c r="J111" s="560"/>
      <c r="K111" s="560"/>
      <c r="L111" s="560"/>
      <c r="M111" s="561"/>
      <c r="N111" s="1151"/>
      <c r="O111" s="1151"/>
      <c r="P111" s="44"/>
      <c r="Q111" s="502"/>
    </row>
    <row r="112" spans="1:17" ht="15" thickTop="1">
      <c r="A112" s="597"/>
      <c r="B112" s="544">
        <f>B40</f>
        <v>111</v>
      </c>
      <c r="C112" s="521"/>
      <c r="D112" s="521"/>
      <c r="E112" s="521"/>
      <c r="F112" s="521"/>
      <c r="G112" s="585"/>
      <c r="H112" s="585"/>
      <c r="I112" s="585"/>
      <c r="J112" s="585"/>
      <c r="K112" s="521"/>
      <c r="L112" s="522"/>
      <c r="M112" s="588"/>
      <c r="N112" s="1150"/>
      <c r="O112" s="1150"/>
      <c r="P112" s="44"/>
      <c r="Q112" s="502"/>
    </row>
    <row r="113" spans="1:17" ht="15.75" thickBot="1">
      <c r="A113" s="2632"/>
      <c r="B113" s="567"/>
      <c r="C113" s="568"/>
      <c r="D113" s="568"/>
      <c r="E113" s="568"/>
      <c r="F113" s="568"/>
      <c r="G113" s="589"/>
      <c r="H113" s="589"/>
      <c r="I113" s="589"/>
      <c r="J113" s="589"/>
      <c r="K113" s="589"/>
      <c r="L113" s="589"/>
      <c r="M113" s="590"/>
      <c r="N113" s="1151"/>
      <c r="O113" s="1151"/>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2"/>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2330</v>
      </c>
      <c r="B2" s="1416" t="e">
        <f ca="1">IF(C2="——",IF(B37="元/平方米",ROUND(C39*D3/10000,0),ROUND(F3*C39/10000,0)),IF(B37="元/平方米",ROUND(C39*D3/10000,0),ROUND(F3*C39/10000,0))-D2)</f>
        <v>#DIV/0!</v>
      </c>
      <c r="C2" s="2584"/>
      <c r="D2" s="1122" t="e">
        <f ca="1">SUMIF(INDIRECT("'"&amp;F2&amp;"'"&amp;"!A:A"),"承租人权益价值",INDIRECT("'"&amp;F2&amp;"'"&amp;"!c:c"))</f>
        <v>#REF!</v>
      </c>
      <c r="E2" s="2585" t="s">
        <v>2331</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2332</v>
      </c>
      <c r="B3" s="607"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06" t="s">
        <v>2648</v>
      </c>
      <c r="AC4" s="3205" t="s">
        <v>2649</v>
      </c>
    </row>
    <row r="5" spans="1:29" ht="15">
      <c r="A5" s="403"/>
      <c r="B5" s="404"/>
      <c r="C5" s="3216" t="s">
        <v>2542</v>
      </c>
      <c r="D5" s="3217"/>
      <c r="E5" s="3214" t="s">
        <v>2543</v>
      </c>
      <c r="F5" s="3215"/>
      <c r="G5" s="3216" t="s">
        <v>2544</v>
      </c>
      <c r="H5" s="3217"/>
      <c r="I5" s="3216" t="s">
        <v>2545</v>
      </c>
      <c r="J5" s="3217"/>
      <c r="K5" s="608"/>
      <c r="L5" s="1128"/>
      <c r="M5" s="1129"/>
      <c r="N5" s="1129"/>
      <c r="O5" s="1129"/>
      <c r="P5" s="3229"/>
      <c r="Q5" s="3230"/>
      <c r="R5" s="3212"/>
      <c r="S5" s="3213"/>
      <c r="T5" s="3212"/>
      <c r="U5" s="3213"/>
      <c r="V5" s="3235"/>
      <c r="W5" s="3235"/>
      <c r="X5" s="1811"/>
      <c r="Y5" s="3212"/>
      <c r="Z5" s="3213"/>
      <c r="AA5" s="3206"/>
      <c r="AB5" s="3206"/>
      <c r="AC5" s="3206"/>
    </row>
    <row r="6" spans="1:29" ht="15.75" thickBot="1">
      <c r="A6" s="405"/>
      <c r="B6" s="406"/>
      <c r="C6" s="3218" t="s">
        <v>2546</v>
      </c>
      <c r="D6" s="3219"/>
      <c r="E6" s="3220" t="s">
        <v>2546</v>
      </c>
      <c r="F6" s="3221"/>
      <c r="G6" s="3218" t="s">
        <v>2546</v>
      </c>
      <c r="H6" s="3219"/>
      <c r="I6" s="3218" t="s">
        <v>2546</v>
      </c>
      <c r="J6" s="3219"/>
      <c r="K6" s="608" t="s">
        <v>2547</v>
      </c>
      <c r="L6" s="1128"/>
      <c r="M6" s="1129"/>
      <c r="N6" s="1129"/>
      <c r="O6" s="1129"/>
      <c r="P6" s="3231"/>
      <c r="Q6" s="3232"/>
      <c r="R6" s="3212"/>
      <c r="S6" s="3213"/>
      <c r="T6" s="3233"/>
      <c r="U6" s="3234"/>
      <c r="V6" s="3235"/>
      <c r="W6" s="3235"/>
      <c r="X6" s="1811"/>
      <c r="Y6" s="3233"/>
      <c r="Z6" s="3234"/>
      <c r="AA6" s="3207"/>
      <c r="AB6" s="3207"/>
      <c r="AC6" s="3207"/>
    </row>
    <row r="7" spans="1:29" s="116" customFormat="1" ht="15.75" thickBot="1">
      <c r="A7" s="407" t="s">
        <v>2548</v>
      </c>
      <c r="B7" s="408"/>
      <c r="C7" s="409">
        <f>'数据-取费表'!B2</f>
        <v>43185</v>
      </c>
      <c r="D7" s="410">
        <v>100</v>
      </c>
      <c r="E7" s="411"/>
      <c r="F7" s="412">
        <f>SUMIF(48:48,YEAR(E7)&amp;"-"&amp;MONTH(E7),49:49)</f>
        <v>0</v>
      </c>
      <c r="G7" s="411"/>
      <c r="H7" s="410">
        <f>SUMIF(48:48,YEAR(G7)&amp;"-"&amp;MONTH(G7),49:49)</f>
        <v>0</v>
      </c>
      <c r="I7" s="411"/>
      <c r="J7" s="410">
        <f>SUMIF(48:48,YEAR(I7)&amp;"-"&amp;MONTH(I7),49:49)</f>
        <v>0</v>
      </c>
      <c r="K7" s="609"/>
      <c r="L7" s="1130"/>
      <c r="M7" s="1131"/>
      <c r="N7" s="1131"/>
      <c r="O7" s="1131"/>
      <c r="P7" s="3208" t="s">
        <v>2549</v>
      </c>
      <c r="Q7" s="3236"/>
      <c r="R7" s="768" t="s">
        <v>17</v>
      </c>
      <c r="S7" s="769">
        <f t="shared" ref="S7:S14" si="0">F7</f>
        <v>0</v>
      </c>
      <c r="T7" s="768" t="s">
        <v>17</v>
      </c>
      <c r="U7" s="769">
        <f t="shared" ref="U7:U14" si="1">H7</f>
        <v>0</v>
      </c>
      <c r="V7" s="768" t="s">
        <v>17</v>
      </c>
      <c r="W7" s="769">
        <f t="shared" ref="W7:W14" si="2">J7</f>
        <v>0</v>
      </c>
      <c r="X7" s="770"/>
      <c r="Y7" s="3208" t="s">
        <v>2549</v>
      </c>
      <c r="Z7" s="3209"/>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09"/>
      <c r="L8" s="1130"/>
      <c r="M8" s="1131"/>
      <c r="N8" s="1131"/>
      <c r="O8" s="1131"/>
      <c r="P8" s="3208" t="s">
        <v>2552</v>
      </c>
      <c r="Q8" s="3209"/>
      <c r="R8" s="768" t="s">
        <v>17</v>
      </c>
      <c r="S8" s="769">
        <f t="shared" si="0"/>
        <v>0</v>
      </c>
      <c r="T8" s="768" t="s">
        <v>17</v>
      </c>
      <c r="U8" s="769">
        <f t="shared" si="1"/>
        <v>0</v>
      </c>
      <c r="V8" s="768" t="s">
        <v>17</v>
      </c>
      <c r="W8" s="769">
        <f t="shared" si="2"/>
        <v>0</v>
      </c>
      <c r="X8" s="770"/>
      <c r="Y8" s="3208" t="s">
        <v>2552</v>
      </c>
      <c r="Z8" s="3209"/>
      <c r="AA8" s="771" t="e">
        <f t="shared" ref="AA8:AA36" si="3">D8/F8</f>
        <v>#DIV/0!</v>
      </c>
      <c r="AB8" s="771" t="e">
        <f t="shared" ref="AB8:AB36" si="4">D8/H8</f>
        <v>#DIV/0!</v>
      </c>
      <c r="AC8" s="771" t="e">
        <f t="shared" ref="AC8:AC36" si="5">D8/J8</f>
        <v>#DIV/0!</v>
      </c>
    </row>
    <row r="9" spans="1:29" s="116" customFormat="1">
      <c r="A9" s="67" t="s">
        <v>2553</v>
      </c>
      <c r="B9" s="638" t="s">
        <v>2554</v>
      </c>
      <c r="C9" s="415"/>
      <c r="D9" s="134">
        <v>100</v>
      </c>
      <c r="E9" s="418"/>
      <c r="F9" s="134">
        <f>SUMIF(53:53,E9,54:54)-SUMIF(53:53,C9,54:54)+100</f>
        <v>100</v>
      </c>
      <c r="G9" s="416"/>
      <c r="H9" s="134">
        <f>SUMIF(53:53,G9,54:54)-SUMIF(53:53,C9,54:54)+100</f>
        <v>100</v>
      </c>
      <c r="I9" s="416"/>
      <c r="J9" s="134">
        <f>SUMIF(53:53,I9,54:54)-SUMIF(53:53,C9,54:54)+100</f>
        <v>100</v>
      </c>
      <c r="K9" s="609"/>
      <c r="L9" s="1130"/>
      <c r="M9" s="1131"/>
      <c r="N9" s="1131"/>
      <c r="O9" s="1131"/>
      <c r="P9" s="3222" t="s">
        <v>2555</v>
      </c>
      <c r="Q9" s="1793" t="str">
        <f t="shared" ref="Q9:Q14" si="6">B9</f>
        <v>用途</v>
      </c>
      <c r="R9" s="768" t="s">
        <v>17</v>
      </c>
      <c r="S9" s="769">
        <f t="shared" si="0"/>
        <v>100</v>
      </c>
      <c r="T9" s="768" t="s">
        <v>17</v>
      </c>
      <c r="U9" s="769">
        <f t="shared" si="1"/>
        <v>100</v>
      </c>
      <c r="V9" s="768" t="s">
        <v>17</v>
      </c>
      <c r="W9" s="769">
        <f t="shared" si="2"/>
        <v>100</v>
      </c>
      <c r="X9" s="770"/>
      <c r="Y9" s="3077" t="s">
        <v>2556</v>
      </c>
      <c r="Z9" s="54" t="str">
        <f t="shared" ref="Z9:Z14" si="7">Q9</f>
        <v>用途</v>
      </c>
      <c r="AA9" s="771">
        <f t="shared" si="3"/>
        <v>1</v>
      </c>
      <c r="AB9" s="771">
        <f t="shared" si="4"/>
        <v>1</v>
      </c>
      <c r="AC9" s="771">
        <f t="shared" si="5"/>
        <v>1</v>
      </c>
    </row>
    <row r="10" spans="1:29" s="425" customFormat="1" ht="27">
      <c r="A10" s="639"/>
      <c r="B10" s="640" t="s">
        <v>2557</v>
      </c>
      <c r="C10" s="421"/>
      <c r="D10" s="135">
        <v>100</v>
      </c>
      <c r="E10" s="421"/>
      <c r="F10" s="135">
        <f>SUMIF(55:55,E10,56:56)-SUMIF(55:55,C10,56:56)+100</f>
        <v>100</v>
      </c>
      <c r="G10" s="422"/>
      <c r="H10" s="135">
        <f>SUMIF(55:55,G10,56:56)-SUMIF(55:55,C10,56:56)+100</f>
        <v>100</v>
      </c>
      <c r="I10" s="421"/>
      <c r="J10" s="135">
        <f>SUMIF(55:55,I10,56:56)-SUMIF(55:55,C10,56:56)+100</f>
        <v>100</v>
      </c>
      <c r="K10" s="610"/>
      <c r="L10" s="1133"/>
      <c r="M10" s="1134"/>
      <c r="N10" s="1134"/>
      <c r="O10" s="1134"/>
      <c r="P10" s="3222"/>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6"/>
      <c r="M11" s="1129"/>
      <c r="N11" s="1129"/>
      <c r="O11" s="1129"/>
      <c r="P11" s="3222"/>
      <c r="Q11" s="1793">
        <f t="shared" si="6"/>
        <v>111</v>
      </c>
      <c r="R11" s="768" t="s">
        <v>17</v>
      </c>
      <c r="S11" s="769">
        <f t="shared" si="0"/>
        <v>100</v>
      </c>
      <c r="T11" s="768" t="s">
        <v>17</v>
      </c>
      <c r="U11" s="769">
        <f t="shared" si="1"/>
        <v>100</v>
      </c>
      <c r="V11" s="768" t="s">
        <v>17</v>
      </c>
      <c r="W11" s="769">
        <f t="shared" si="2"/>
        <v>100</v>
      </c>
      <c r="X11" s="770"/>
      <c r="Y11" s="3077"/>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0"/>
      <c r="M12" s="1131"/>
      <c r="N12" s="1131"/>
      <c r="O12" s="1131"/>
      <c r="P12" s="3222"/>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8"/>
      <c r="M13" s="1129"/>
      <c r="N13" s="1129"/>
      <c r="O13" s="1129"/>
      <c r="P13" s="3222"/>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771">
        <f t="shared" si="5"/>
        <v>1</v>
      </c>
    </row>
    <row r="14" spans="1:29" ht="85.5">
      <c r="A14" s="400" t="s">
        <v>2559</v>
      </c>
      <c r="B14" s="627" t="s">
        <v>2709</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37" t="s">
        <v>2560</v>
      </c>
      <c r="Q14" s="1808" t="str">
        <f t="shared" si="6"/>
        <v>交通便捷度</v>
      </c>
      <c r="R14" s="772" t="s">
        <v>17</v>
      </c>
      <c r="S14" s="773">
        <f t="shared" si="0"/>
        <v>100</v>
      </c>
      <c r="T14" s="772" t="s">
        <v>17</v>
      </c>
      <c r="U14" s="773">
        <f t="shared" si="1"/>
        <v>100</v>
      </c>
      <c r="V14" s="772" t="s">
        <v>17</v>
      </c>
      <c r="W14" s="773">
        <f t="shared" si="2"/>
        <v>100</v>
      </c>
      <c r="X14" s="1811"/>
      <c r="Y14" s="3237" t="s">
        <v>2560</v>
      </c>
      <c r="Z14" s="1812" t="str">
        <f t="shared" si="7"/>
        <v>交通便捷度</v>
      </c>
      <c r="AA14" s="1809">
        <f t="shared" si="3"/>
        <v>1</v>
      </c>
      <c r="AB14" s="1809">
        <f t="shared" si="4"/>
        <v>1</v>
      </c>
      <c r="AC14" s="1809">
        <f t="shared" si="5"/>
        <v>1</v>
      </c>
    </row>
    <row r="15" spans="1:29" ht="15">
      <c r="A15" s="403"/>
      <c r="B15" s="645"/>
      <c r="C15" s="445"/>
      <c r="D15" s="446"/>
      <c r="E15" s="445"/>
      <c r="F15" s="447"/>
      <c r="G15" s="445"/>
      <c r="H15" s="448"/>
      <c r="I15" s="445"/>
      <c r="J15" s="446"/>
      <c r="K15" s="613"/>
      <c r="L15" s="1138"/>
      <c r="M15" s="1129"/>
      <c r="N15" s="1129"/>
      <c r="O15" s="1129"/>
      <c r="P15" s="3238"/>
      <c r="Q15" s="1808"/>
      <c r="R15" s="772"/>
      <c r="S15" s="773"/>
      <c r="T15" s="772"/>
      <c r="U15" s="773"/>
      <c r="V15" s="772"/>
      <c r="W15" s="773"/>
      <c r="X15" s="1811"/>
      <c r="Y15" s="3238"/>
      <c r="Z15" s="1812"/>
      <c r="AA15" s="1809">
        <v>1</v>
      </c>
      <c r="AB15" s="1809">
        <v>1</v>
      </c>
      <c r="AC15" s="1809">
        <v>1</v>
      </c>
    </row>
    <row r="16" spans="1:29" ht="42.75">
      <c r="A16" s="403"/>
      <c r="B16" s="629" t="s">
        <v>2688</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38"/>
      <c r="Q16" s="1808" t="str">
        <f>B16</f>
        <v>公共配套设施</v>
      </c>
      <c r="R16" s="772" t="s">
        <v>17</v>
      </c>
      <c r="S16" s="773">
        <f>F16</f>
        <v>100</v>
      </c>
      <c r="T16" s="772" t="s">
        <v>17</v>
      </c>
      <c r="U16" s="773">
        <f>H16</f>
        <v>100</v>
      </c>
      <c r="V16" s="772" t="s">
        <v>17</v>
      </c>
      <c r="W16" s="773">
        <f>J16</f>
        <v>100</v>
      </c>
      <c r="X16" s="1811"/>
      <c r="Y16" s="3238"/>
      <c r="Z16" s="1812" t="str">
        <f>Q16</f>
        <v>公共配套设施</v>
      </c>
      <c r="AA16" s="1809">
        <f t="shared" si="3"/>
        <v>1</v>
      </c>
      <c r="AB16" s="1809">
        <f t="shared" si="4"/>
        <v>1</v>
      </c>
      <c r="AC16" s="1809">
        <f t="shared" si="5"/>
        <v>1</v>
      </c>
    </row>
    <row r="17" spans="1:29" ht="15">
      <c r="A17" s="403"/>
      <c r="B17" s="630"/>
      <c r="C17" s="2605"/>
      <c r="D17" s="446"/>
      <c r="E17" s="445"/>
      <c r="F17" s="447"/>
      <c r="G17" s="445"/>
      <c r="H17" s="446"/>
      <c r="I17" s="445"/>
      <c r="J17" s="446"/>
      <c r="K17" s="613"/>
      <c r="L17" s="1138"/>
      <c r="M17" s="1129"/>
      <c r="N17" s="1129"/>
      <c r="O17" s="1129"/>
      <c r="P17" s="3238"/>
      <c r="Q17" s="1808"/>
      <c r="R17" s="772"/>
      <c r="S17" s="773"/>
      <c r="T17" s="772"/>
      <c r="U17" s="773"/>
      <c r="V17" s="772"/>
      <c r="W17" s="773"/>
      <c r="X17" s="1811"/>
      <c r="Y17" s="3238"/>
      <c r="Z17" s="1812"/>
      <c r="AA17" s="1809">
        <v>1</v>
      </c>
      <c r="AB17" s="1809">
        <v>1</v>
      </c>
      <c r="AC17" s="1809">
        <v>1</v>
      </c>
    </row>
    <row r="18" spans="1:29" ht="28.5">
      <c r="A18" s="403"/>
      <c r="B18" s="631" t="s">
        <v>2689</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38"/>
      <c r="Q18" s="1808" t="str">
        <f>B18</f>
        <v>基础设施水平</v>
      </c>
      <c r="R18" s="772" t="s">
        <v>17</v>
      </c>
      <c r="S18" s="773">
        <f>F18</f>
        <v>100</v>
      </c>
      <c r="T18" s="772" t="s">
        <v>17</v>
      </c>
      <c r="U18" s="773">
        <f>H18</f>
        <v>100</v>
      </c>
      <c r="V18" s="772" t="s">
        <v>17</v>
      </c>
      <c r="W18" s="773">
        <f>J18</f>
        <v>100</v>
      </c>
      <c r="X18" s="1811"/>
      <c r="Y18" s="3238"/>
      <c r="Z18" s="1812" t="str">
        <f>Q18</f>
        <v>基础设施水平</v>
      </c>
      <c r="AA18" s="1809">
        <f t="shared" ref="AA18" si="8">D18/F18</f>
        <v>1</v>
      </c>
      <c r="AB18" s="1809">
        <f t="shared" ref="AB18" si="9">D18/H18</f>
        <v>1</v>
      </c>
      <c r="AC18" s="1809">
        <f t="shared" ref="AC18" si="10">D18/J18</f>
        <v>1</v>
      </c>
    </row>
    <row r="19" spans="1:29" ht="15">
      <c r="A19" s="403"/>
      <c r="B19" s="631"/>
      <c r="C19" s="2605"/>
      <c r="D19" s="448"/>
      <c r="E19" s="2605"/>
      <c r="F19" s="451"/>
      <c r="G19" s="2605"/>
      <c r="H19" s="446"/>
      <c r="I19" s="445"/>
      <c r="J19" s="446"/>
      <c r="K19" s="1381"/>
      <c r="L19" s="1138"/>
      <c r="M19" s="1129"/>
      <c r="N19" s="1129"/>
      <c r="O19" s="1129"/>
      <c r="P19" s="3238"/>
      <c r="Q19" s="1808"/>
      <c r="R19" s="772"/>
      <c r="S19" s="773"/>
      <c r="T19" s="772"/>
      <c r="U19" s="773"/>
      <c r="V19" s="772"/>
      <c r="W19" s="773"/>
      <c r="X19" s="1811"/>
      <c r="Y19" s="3238"/>
      <c r="Z19" s="1812"/>
      <c r="AA19" s="1809">
        <v>1</v>
      </c>
      <c r="AB19" s="1809">
        <v>1</v>
      </c>
      <c r="AC19" s="1809">
        <v>1</v>
      </c>
    </row>
    <row r="20" spans="1:29" ht="57">
      <c r="A20" s="403"/>
      <c r="B20" s="629" t="s">
        <v>2710</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38"/>
      <c r="Q20" s="1808" t="str">
        <f>B20</f>
        <v>自然及人文环境</v>
      </c>
      <c r="R20" s="772" t="s">
        <v>17</v>
      </c>
      <c r="S20" s="773">
        <f>F20</f>
        <v>100</v>
      </c>
      <c r="T20" s="772" t="s">
        <v>17</v>
      </c>
      <c r="U20" s="773">
        <f>H20</f>
        <v>100</v>
      </c>
      <c r="V20" s="772" t="s">
        <v>17</v>
      </c>
      <c r="W20" s="773">
        <f>J20</f>
        <v>100</v>
      </c>
      <c r="X20" s="1811"/>
      <c r="Y20" s="3238"/>
      <c r="Z20" s="1812" t="str">
        <f>Q20</f>
        <v>自然及人文环境</v>
      </c>
      <c r="AA20" s="1809">
        <f t="shared" si="3"/>
        <v>1</v>
      </c>
      <c r="AB20" s="1809">
        <f t="shared" si="4"/>
        <v>1</v>
      </c>
      <c r="AC20" s="1809">
        <f t="shared" si="5"/>
        <v>1</v>
      </c>
    </row>
    <row r="21" spans="1:29" ht="15">
      <c r="A21" s="403"/>
      <c r="B21" s="630"/>
      <c r="C21" s="445"/>
      <c r="D21" s="446"/>
      <c r="E21" s="445"/>
      <c r="F21" s="447"/>
      <c r="G21" s="445"/>
      <c r="H21" s="446"/>
      <c r="I21" s="445"/>
      <c r="J21" s="446"/>
      <c r="K21" s="613"/>
      <c r="L21" s="1138"/>
      <c r="M21" s="1129"/>
      <c r="N21" s="1129"/>
      <c r="O21" s="1129"/>
      <c r="P21" s="3238"/>
      <c r="Q21" s="1808"/>
      <c r="R21" s="772"/>
      <c r="S21" s="773"/>
      <c r="T21" s="772"/>
      <c r="U21" s="773"/>
      <c r="V21" s="772"/>
      <c r="W21" s="773"/>
      <c r="X21" s="1811"/>
      <c r="Y21" s="3238"/>
      <c r="Z21" s="1812"/>
      <c r="AA21" s="1809">
        <v>1</v>
      </c>
      <c r="AB21" s="1809">
        <v>1</v>
      </c>
      <c r="AC21" s="1809">
        <v>1</v>
      </c>
    </row>
    <row r="22" spans="1:29" ht="15">
      <c r="A22" s="403"/>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38"/>
      <c r="Q22" s="1808" t="str">
        <f>B22</f>
        <v>楼层</v>
      </c>
      <c r="R22" s="772" t="s">
        <v>17</v>
      </c>
      <c r="S22" s="773">
        <f>F22</f>
        <v>100</v>
      </c>
      <c r="T22" s="772" t="s">
        <v>17</v>
      </c>
      <c r="U22" s="773">
        <f>H22</f>
        <v>100</v>
      </c>
      <c r="V22" s="772" t="s">
        <v>17</v>
      </c>
      <c r="W22" s="773">
        <f>J22</f>
        <v>100</v>
      </c>
      <c r="X22" s="1811"/>
      <c r="Y22" s="3238"/>
      <c r="Z22" s="1812" t="str">
        <f>Q22</f>
        <v>楼层</v>
      </c>
      <c r="AA22" s="1809">
        <f t="shared" si="3"/>
        <v>1</v>
      </c>
      <c r="AB22" s="1809">
        <f t="shared" si="4"/>
        <v>1</v>
      </c>
      <c r="AC22" s="1809">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38"/>
      <c r="Q23" s="1808">
        <f>B23</f>
        <v>111</v>
      </c>
      <c r="R23" s="772" t="s">
        <v>17</v>
      </c>
      <c r="S23" s="773">
        <f>F23</f>
        <v>100</v>
      </c>
      <c r="T23" s="772" t="s">
        <v>17</v>
      </c>
      <c r="U23" s="773">
        <f>H23</f>
        <v>100</v>
      </c>
      <c r="V23" s="772" t="s">
        <v>17</v>
      </c>
      <c r="W23" s="773">
        <f>J23</f>
        <v>100</v>
      </c>
      <c r="X23" s="1811"/>
      <c r="Y23" s="3238"/>
      <c r="Z23" s="1812">
        <f>Q23</f>
        <v>111</v>
      </c>
      <c r="AA23" s="1809">
        <f t="shared" si="3"/>
        <v>1</v>
      </c>
      <c r="AB23" s="1809">
        <f t="shared" si="4"/>
        <v>1</v>
      </c>
      <c r="AC23" s="1809">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38"/>
      <c r="Q24" s="1808">
        <f t="shared" ref="Q24:Q36" si="11">B24</f>
        <v>111</v>
      </c>
      <c r="R24" s="772" t="s">
        <v>17</v>
      </c>
      <c r="S24" s="773">
        <f>F24</f>
        <v>100</v>
      </c>
      <c r="T24" s="772" t="s">
        <v>17</v>
      </c>
      <c r="U24" s="773">
        <f>H24</f>
        <v>100</v>
      </c>
      <c r="V24" s="772" t="s">
        <v>17</v>
      </c>
      <c r="W24" s="773">
        <f>J24</f>
        <v>100</v>
      </c>
      <c r="X24" s="1811"/>
      <c r="Y24" s="3238"/>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38"/>
      <c r="Q25" s="1793">
        <f t="shared" si="11"/>
        <v>111</v>
      </c>
      <c r="R25" s="768" t="s">
        <v>17</v>
      </c>
      <c r="S25" s="769">
        <f>F25</f>
        <v>100</v>
      </c>
      <c r="T25" s="768" t="s">
        <v>17</v>
      </c>
      <c r="U25" s="769">
        <f>H25</f>
        <v>100</v>
      </c>
      <c r="V25" s="768" t="s">
        <v>17</v>
      </c>
      <c r="W25" s="769">
        <f>J25</f>
        <v>100</v>
      </c>
      <c r="X25" s="770"/>
      <c r="Y25" s="3238"/>
      <c r="Z25" s="54">
        <f>Q25</f>
        <v>111</v>
      </c>
      <c r="AA25" s="1809">
        <f>D25/F25</f>
        <v>1</v>
      </c>
      <c r="AB25" s="1809">
        <f>D25/H25</f>
        <v>1</v>
      </c>
      <c r="AC25" s="1809">
        <f>D25/J25</f>
        <v>1</v>
      </c>
    </row>
    <row r="26" spans="1:29" ht="15">
      <c r="A26" s="650" t="s">
        <v>2563</v>
      </c>
      <c r="B26" s="69" t="s">
        <v>2712</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39"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0" t="s">
        <v>2565</v>
      </c>
      <c r="Z26" s="1812" t="str">
        <f t="shared" ref="Z26:Z36" si="15">Q26</f>
        <v>配套类型</v>
      </c>
      <c r="AA26" s="1809">
        <f t="shared" si="3"/>
        <v>1</v>
      </c>
      <c r="AB26" s="1809">
        <f t="shared" si="4"/>
        <v>1</v>
      </c>
      <c r="AC26" s="1809">
        <f t="shared" si="5"/>
        <v>1</v>
      </c>
    </row>
    <row r="27" spans="1:29" s="469" customFormat="1" ht="15">
      <c r="A27" s="651"/>
      <c r="B27" s="652" t="s">
        <v>2713</v>
      </c>
      <c r="C27" s="653"/>
      <c r="D27" s="135">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40"/>
      <c r="Q27" s="774" t="str">
        <f t="shared" si="11"/>
        <v>项目停车位配比</v>
      </c>
      <c r="R27" s="775" t="s">
        <v>17</v>
      </c>
      <c r="S27" s="776">
        <f t="shared" si="12"/>
        <v>100</v>
      </c>
      <c r="T27" s="775" t="s">
        <v>17</v>
      </c>
      <c r="U27" s="776">
        <f t="shared" si="13"/>
        <v>100</v>
      </c>
      <c r="V27" s="775" t="s">
        <v>17</v>
      </c>
      <c r="W27" s="776">
        <f t="shared" si="14"/>
        <v>100</v>
      </c>
      <c r="X27" s="777"/>
      <c r="Y27" s="3240"/>
      <c r="Z27" s="778" t="str">
        <f t="shared" si="15"/>
        <v>项目停车位配比</v>
      </c>
      <c r="AA27" s="1809">
        <f t="shared" si="3"/>
        <v>1</v>
      </c>
      <c r="AB27" s="1809">
        <f t="shared" si="4"/>
        <v>1</v>
      </c>
      <c r="AC27" s="1809">
        <f t="shared" si="5"/>
        <v>1</v>
      </c>
    </row>
    <row r="28" spans="1:29" ht="15">
      <c r="A28" s="654"/>
      <c r="B28" s="652" t="s">
        <v>2714</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40"/>
      <c r="Q28" s="1808" t="str">
        <f t="shared" si="11"/>
        <v>公共部分装修</v>
      </c>
      <c r="R28" s="772" t="s">
        <v>17</v>
      </c>
      <c r="S28" s="773">
        <f t="shared" si="12"/>
        <v>100</v>
      </c>
      <c r="T28" s="772" t="s">
        <v>17</v>
      </c>
      <c r="U28" s="773">
        <f t="shared" si="13"/>
        <v>100</v>
      </c>
      <c r="V28" s="772" t="s">
        <v>17</v>
      </c>
      <c r="W28" s="773">
        <f t="shared" si="14"/>
        <v>100</v>
      </c>
      <c r="X28" s="1811"/>
      <c r="Y28" s="3240"/>
      <c r="Z28" s="1812" t="str">
        <f t="shared" si="15"/>
        <v>公共部分装修</v>
      </c>
      <c r="AA28" s="1809">
        <f t="shared" si="3"/>
        <v>1</v>
      </c>
      <c r="AB28" s="1809">
        <f t="shared" si="4"/>
        <v>1</v>
      </c>
      <c r="AC28" s="1809">
        <f t="shared" si="5"/>
        <v>1</v>
      </c>
    </row>
    <row r="29" spans="1:29" ht="15">
      <c r="A29" s="654"/>
      <c r="B29" s="652" t="s">
        <v>2715</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40"/>
      <c r="Q29" s="1808" t="str">
        <f t="shared" si="11"/>
        <v>成新率</v>
      </c>
      <c r="R29" s="772" t="s">
        <v>17</v>
      </c>
      <c r="S29" s="773" t="e">
        <f t="shared" si="12"/>
        <v>#N/A</v>
      </c>
      <c r="T29" s="772" t="s">
        <v>17</v>
      </c>
      <c r="U29" s="773" t="e">
        <f t="shared" si="13"/>
        <v>#N/A</v>
      </c>
      <c r="V29" s="772" t="s">
        <v>17</v>
      </c>
      <c r="W29" s="773" t="e">
        <f t="shared" si="14"/>
        <v>#N/A</v>
      </c>
      <c r="X29" s="1811"/>
      <c r="Y29" s="3240"/>
      <c r="Z29" s="1812" t="str">
        <f t="shared" si="15"/>
        <v>成新率</v>
      </c>
      <c r="AA29" s="1809" t="e">
        <f t="shared" si="3"/>
        <v>#N/A</v>
      </c>
      <c r="AB29" s="1809" t="e">
        <f t="shared" si="4"/>
        <v>#N/A</v>
      </c>
      <c r="AC29" s="1809" t="e">
        <f t="shared" si="5"/>
        <v>#N/A</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40"/>
      <c r="Q30" s="1808" t="str">
        <f t="shared" si="11"/>
        <v>物业等级</v>
      </c>
      <c r="R30" s="772" t="s">
        <v>17</v>
      </c>
      <c r="S30" s="773">
        <f t="shared" si="12"/>
        <v>100</v>
      </c>
      <c r="T30" s="772" t="s">
        <v>17</v>
      </c>
      <c r="U30" s="773">
        <f t="shared" si="13"/>
        <v>100</v>
      </c>
      <c r="V30" s="772" t="s">
        <v>17</v>
      </c>
      <c r="W30" s="773">
        <f t="shared" si="14"/>
        <v>100</v>
      </c>
      <c r="X30" s="1811"/>
      <c r="Y30" s="3240"/>
      <c r="Z30" s="1812" t="str">
        <f t="shared" si="15"/>
        <v>物业等级</v>
      </c>
      <c r="AA30" s="1809">
        <f t="shared" si="3"/>
        <v>1</v>
      </c>
      <c r="AB30" s="1809">
        <f t="shared" si="4"/>
        <v>1</v>
      </c>
      <c r="AC30" s="1809">
        <f t="shared" si="5"/>
        <v>1</v>
      </c>
    </row>
    <row r="31" spans="1:29" s="116" customFormat="1" ht="15">
      <c r="A31" s="656"/>
      <c r="B31" s="652" t="s">
        <v>2717</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40"/>
      <c r="Q31" s="1793" t="str">
        <f t="shared" si="11"/>
        <v>停车位面积</v>
      </c>
      <c r="R31" s="768" t="s">
        <v>17</v>
      </c>
      <c r="S31" s="769" t="e">
        <f t="shared" si="12"/>
        <v>#N/A</v>
      </c>
      <c r="T31" s="768" t="s">
        <v>17</v>
      </c>
      <c r="U31" s="769" t="e">
        <f t="shared" si="13"/>
        <v>#N/A</v>
      </c>
      <c r="V31" s="768" t="s">
        <v>17</v>
      </c>
      <c r="W31" s="769" t="e">
        <f t="shared" si="14"/>
        <v>#N/A</v>
      </c>
      <c r="X31" s="770"/>
      <c r="Y31" s="3240"/>
      <c r="Z31" s="54" t="str">
        <f t="shared" si="15"/>
        <v>停车位面积</v>
      </c>
      <c r="AA31" s="771" t="e">
        <f t="shared" si="3"/>
        <v>#N/A</v>
      </c>
      <c r="AB31" s="771" t="e">
        <f t="shared" si="4"/>
        <v>#N/A</v>
      </c>
      <c r="AC31" s="771" t="e">
        <f t="shared" si="5"/>
        <v>#N/A</v>
      </c>
    </row>
    <row r="32" spans="1:29" ht="15">
      <c r="A32" s="654"/>
      <c r="B32" s="652" t="s">
        <v>2718</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40" t="s">
        <v>2565</v>
      </c>
      <c r="Q32" s="1808" t="str">
        <f t="shared" si="11"/>
        <v>车位类型</v>
      </c>
      <c r="R32" s="772" t="s">
        <v>17</v>
      </c>
      <c r="S32" s="773">
        <f t="shared" si="12"/>
        <v>100</v>
      </c>
      <c r="T32" s="772" t="s">
        <v>17</v>
      </c>
      <c r="U32" s="773">
        <f t="shared" si="13"/>
        <v>100</v>
      </c>
      <c r="V32" s="772" t="s">
        <v>17</v>
      </c>
      <c r="W32" s="773">
        <f t="shared" si="14"/>
        <v>100</v>
      </c>
      <c r="X32" s="1811"/>
      <c r="Y32" s="3240" t="s">
        <v>2565</v>
      </c>
      <c r="Z32" s="1812" t="str">
        <f t="shared" si="15"/>
        <v>车位类型</v>
      </c>
      <c r="AA32" s="1809">
        <f t="shared" si="3"/>
        <v>1</v>
      </c>
      <c r="AB32" s="1809">
        <f t="shared" si="4"/>
        <v>1</v>
      </c>
      <c r="AC32" s="1809">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40"/>
      <c r="Q33" s="1808" t="str">
        <f t="shared" si="11"/>
        <v>是否直接入户</v>
      </c>
      <c r="R33" s="772" t="s">
        <v>17</v>
      </c>
      <c r="S33" s="773">
        <f t="shared" si="12"/>
        <v>100</v>
      </c>
      <c r="T33" s="772" t="s">
        <v>17</v>
      </c>
      <c r="U33" s="773">
        <f t="shared" si="13"/>
        <v>100</v>
      </c>
      <c r="V33" s="772" t="s">
        <v>17</v>
      </c>
      <c r="W33" s="773">
        <f t="shared" si="14"/>
        <v>100</v>
      </c>
      <c r="X33" s="1811"/>
      <c r="Y33" s="324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40"/>
      <c r="Q34" s="1808">
        <f t="shared" si="11"/>
        <v>111</v>
      </c>
      <c r="R34" s="772" t="s">
        <v>17</v>
      </c>
      <c r="S34" s="773">
        <f t="shared" si="12"/>
        <v>100</v>
      </c>
      <c r="T34" s="772" t="s">
        <v>17</v>
      </c>
      <c r="U34" s="773">
        <f t="shared" si="13"/>
        <v>100</v>
      </c>
      <c r="V34" s="772" t="s">
        <v>17</v>
      </c>
      <c r="W34" s="773">
        <f t="shared" si="14"/>
        <v>100</v>
      </c>
      <c r="X34" s="1811"/>
      <c r="Y34" s="324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40"/>
      <c r="Q35" s="774">
        <f t="shared" si="11"/>
        <v>111</v>
      </c>
      <c r="R35" s="775" t="s">
        <v>17</v>
      </c>
      <c r="S35" s="776">
        <f t="shared" si="12"/>
        <v>100</v>
      </c>
      <c r="T35" s="775" t="s">
        <v>17</v>
      </c>
      <c r="U35" s="776">
        <f t="shared" si="13"/>
        <v>100</v>
      </c>
      <c r="V35" s="775" t="s">
        <v>17</v>
      </c>
      <c r="W35" s="776">
        <f t="shared" si="14"/>
        <v>100</v>
      </c>
      <c r="X35" s="777"/>
      <c r="Y35" s="3240"/>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40"/>
      <c r="Q36" s="1808">
        <f t="shared" si="11"/>
        <v>111</v>
      </c>
      <c r="R36" s="772" t="s">
        <v>17</v>
      </c>
      <c r="S36" s="773">
        <f t="shared" si="12"/>
        <v>100</v>
      </c>
      <c r="T36" s="772" t="s">
        <v>17</v>
      </c>
      <c r="U36" s="773">
        <f t="shared" si="13"/>
        <v>100</v>
      </c>
      <c r="V36" s="772" t="s">
        <v>17</v>
      </c>
      <c r="W36" s="773">
        <f t="shared" si="14"/>
        <v>100</v>
      </c>
      <c r="X36" s="1811"/>
      <c r="Y36" s="3240"/>
      <c r="Z36" s="1812">
        <f t="shared" si="15"/>
        <v>111</v>
      </c>
      <c r="AA36" s="1809">
        <f t="shared" si="3"/>
        <v>1</v>
      </c>
      <c r="AB36" s="1809">
        <f t="shared" si="4"/>
        <v>1</v>
      </c>
      <c r="AC36" s="1809">
        <f t="shared" si="5"/>
        <v>1</v>
      </c>
    </row>
    <row r="37" spans="1:29" ht="15">
      <c r="A37" s="477" t="s">
        <v>2720</v>
      </c>
      <c r="B37" s="2691" t="s">
        <v>2721</v>
      </c>
      <c r="C37" s="1405" t="s">
        <v>1</v>
      </c>
      <c r="D37" s="1406"/>
      <c r="E37" s="1407"/>
      <c r="F37" s="1408"/>
      <c r="G37" s="1409"/>
      <c r="H37" s="1410"/>
      <c r="I37" s="1407"/>
      <c r="J37" s="1410"/>
      <c r="K37" s="617"/>
      <c r="L37" s="1141"/>
      <c r="M37" s="1142"/>
      <c r="N37" s="1129"/>
      <c r="O37" s="1142"/>
      <c r="P37" s="3222" t="str">
        <f>A37</f>
        <v>成交单价</v>
      </c>
      <c r="Q37" s="3222"/>
      <c r="R37" s="3255">
        <f>E37</f>
        <v>0</v>
      </c>
      <c r="S37" s="3255"/>
      <c r="T37" s="3255">
        <f>G37</f>
        <v>0</v>
      </c>
      <c r="U37" s="3255"/>
      <c r="V37" s="3255">
        <f>I37</f>
        <v>0</v>
      </c>
      <c r="W37" s="3255"/>
      <c r="X37" s="757"/>
      <c r="Y37" s="779"/>
      <c r="Z37" s="757"/>
      <c r="AA37" s="757"/>
      <c r="AB37" s="757"/>
      <c r="AC37" s="757"/>
    </row>
    <row r="38" spans="1:29" ht="15.75" thickBot="1">
      <c r="A38" s="484" t="s">
        <v>2722</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22" t="str">
        <f>A38</f>
        <v>比较价值（元/平方米）</v>
      </c>
      <c r="Q38" s="3222"/>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7"/>
      <c r="Y38" s="757"/>
      <c r="Z38" s="757"/>
      <c r="AA38" s="757"/>
      <c r="AB38" s="757"/>
      <c r="AC38" s="757"/>
    </row>
    <row r="39" spans="1:29" ht="15.75" thickBot="1">
      <c r="A39" s="490" t="s">
        <v>2723</v>
      </c>
      <c r="B39" s="491"/>
      <c r="C39" s="1415" t="e">
        <f>R39</f>
        <v>#DIV/0!</v>
      </c>
      <c r="D39" s="1415"/>
      <c r="E39" s="1415"/>
      <c r="F39" s="1415"/>
      <c r="G39" s="1415"/>
      <c r="H39" s="1415"/>
      <c r="I39" s="1415"/>
      <c r="J39" s="1415"/>
      <c r="K39" s="619"/>
      <c r="L39" s="1141"/>
      <c r="M39" s="1142"/>
      <c r="N39" s="1142"/>
      <c r="O39" s="1142"/>
      <c r="P39" s="3242" t="str">
        <f>A39</f>
        <v>估价对象XX用房的比较价值（楼面单价，元/平方米）</v>
      </c>
      <c r="Q39" s="3243"/>
      <c r="R39" s="3254" t="e">
        <f>IF(F1="售价",ROUND(AVERAGE(R38:V38),0),ROUND(AVERAGE(R38:V38),1))</f>
        <v>#DIV/0!</v>
      </c>
      <c r="S39" s="3254"/>
      <c r="T39" s="3254"/>
      <c r="U39" s="3254"/>
      <c r="V39" s="3254"/>
      <c r="W39" s="3254"/>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2724</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2725</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2726</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2728</v>
      </c>
      <c r="B48" s="504"/>
      <c r="C48" s="1572" t="str">
        <f>YEAR(C7)&amp;"-"&amp;MONTH(C7)</f>
        <v>2018-3</v>
      </c>
      <c r="D48" s="1573">
        <f>EDATE(C48,-1)</f>
        <v>43132</v>
      </c>
      <c r="E48" s="1573">
        <f t="shared" ref="E48:O48" si="16">EDATE(D48,-1)</f>
        <v>43101</v>
      </c>
      <c r="F48" s="1573">
        <f t="shared" si="16"/>
        <v>43070</v>
      </c>
      <c r="G48" s="1573">
        <f t="shared" si="16"/>
        <v>43040</v>
      </c>
      <c r="H48" s="1573">
        <f t="shared" si="16"/>
        <v>43009</v>
      </c>
      <c r="I48" s="1573">
        <f t="shared" si="16"/>
        <v>42979</v>
      </c>
      <c r="J48" s="1573">
        <f t="shared" si="16"/>
        <v>42948</v>
      </c>
      <c r="K48" s="1573">
        <f t="shared" si="16"/>
        <v>42917</v>
      </c>
      <c r="L48" s="1573">
        <f t="shared" si="16"/>
        <v>42887</v>
      </c>
      <c r="M48" s="1573">
        <f t="shared" si="16"/>
        <v>42856</v>
      </c>
      <c r="N48" s="1573">
        <f t="shared" si="16"/>
        <v>42826</v>
      </c>
      <c r="O48" s="1573">
        <f t="shared" si="16"/>
        <v>42795</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2585</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2550</v>
      </c>
      <c r="B51" s="508"/>
      <c r="C51" s="520" t="s">
        <v>2652</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2588</v>
      </c>
      <c r="B53" s="526" t="s">
        <v>2554</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2603</v>
      </c>
      <c r="C65" s="576" t="s">
        <v>2597</v>
      </c>
      <c r="D65" s="576" t="s">
        <v>2598</v>
      </c>
      <c r="E65" s="576" t="s">
        <v>2599</v>
      </c>
      <c r="F65" s="576" t="s">
        <v>2600</v>
      </c>
      <c r="G65" s="576" t="s">
        <v>2601</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2689</v>
      </c>
      <c r="C67" s="658" t="s">
        <v>2675</v>
      </c>
      <c r="D67" s="658" t="s">
        <v>2676</v>
      </c>
      <c r="E67" s="658" t="s">
        <v>2677</v>
      </c>
      <c r="F67" s="658" t="s">
        <v>2678</v>
      </c>
      <c r="G67" s="658" t="s">
        <v>2679</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2609</v>
      </c>
      <c r="C69" s="576" t="s">
        <v>2597</v>
      </c>
      <c r="D69" s="576" t="s">
        <v>2598</v>
      </c>
      <c r="E69" s="576" t="s">
        <v>2599</v>
      </c>
      <c r="F69" s="576" t="s">
        <v>2600</v>
      </c>
      <c r="G69" s="576" t="s">
        <v>2601</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2729</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2563</v>
      </c>
      <c r="B79" s="526" t="s">
        <v>2730</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2731</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2616</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2733</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2734</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2735</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2736</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2"/>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6" t="e">
        <f ca="1">IF(C2="——",ROUND(C37*D3/10000,0),ROUND(C37*D3/10000,0)-D2)</f>
        <v>#DIV/0!</v>
      </c>
      <c r="C2" s="2584"/>
      <c r="D2" s="1122" t="e">
        <f ca="1">SUMIF(INDIRECT("'"&amp;F2&amp;"'"&amp;"!A:A"),"承租人权益价值",INDIRECT("'"&amp;F2&amp;"'"&amp;"!c:c"))</f>
        <v>#REF!</v>
      </c>
      <c r="E2" s="2585" t="s">
        <v>2331</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06" t="s">
        <v>2648</v>
      </c>
      <c r="AC4" s="3205" t="s">
        <v>2649</v>
      </c>
    </row>
    <row r="5" spans="1:29" ht="15">
      <c r="A5" s="403"/>
      <c r="B5" s="404"/>
      <c r="C5" s="3216" t="s">
        <v>2542</v>
      </c>
      <c r="D5" s="3217"/>
      <c r="E5" s="3214" t="s">
        <v>2543</v>
      </c>
      <c r="F5" s="3215"/>
      <c r="G5" s="3216" t="s">
        <v>2544</v>
      </c>
      <c r="H5" s="3217"/>
      <c r="I5" s="3216" t="s">
        <v>2545</v>
      </c>
      <c r="J5" s="3217"/>
      <c r="K5" s="608"/>
      <c r="L5" s="1128"/>
      <c r="M5" s="1129"/>
      <c r="N5" s="1129"/>
      <c r="O5" s="1129"/>
      <c r="P5" s="3229"/>
      <c r="Q5" s="3230"/>
      <c r="R5" s="3212"/>
      <c r="S5" s="3213"/>
      <c r="T5" s="3212"/>
      <c r="U5" s="3213"/>
      <c r="V5" s="3235"/>
      <c r="W5" s="3235"/>
      <c r="X5" s="1811"/>
      <c r="Y5" s="3212"/>
      <c r="Z5" s="3213"/>
      <c r="AA5" s="3206"/>
      <c r="AB5" s="3206"/>
      <c r="AC5" s="3206"/>
    </row>
    <row r="6" spans="1:29" ht="15.75" thickBot="1">
      <c r="A6" s="405"/>
      <c r="B6" s="406"/>
      <c r="C6" s="3218" t="s">
        <v>2546</v>
      </c>
      <c r="D6" s="3219"/>
      <c r="E6" s="3220" t="s">
        <v>2546</v>
      </c>
      <c r="F6" s="3221"/>
      <c r="G6" s="3218" t="s">
        <v>2546</v>
      </c>
      <c r="H6" s="3219"/>
      <c r="I6" s="3218" t="s">
        <v>2546</v>
      </c>
      <c r="J6" s="3219"/>
      <c r="K6" s="608" t="s">
        <v>2547</v>
      </c>
      <c r="L6" s="1128"/>
      <c r="M6" s="1129"/>
      <c r="N6" s="1129"/>
      <c r="O6" s="1129"/>
      <c r="P6" s="3231"/>
      <c r="Q6" s="3232"/>
      <c r="R6" s="3212"/>
      <c r="S6" s="3213"/>
      <c r="T6" s="3233"/>
      <c r="U6" s="3234"/>
      <c r="V6" s="3235"/>
      <c r="W6" s="3235"/>
      <c r="X6" s="1811"/>
      <c r="Y6" s="3233"/>
      <c r="Z6" s="3234"/>
      <c r="AA6" s="3207"/>
      <c r="AB6" s="3207"/>
      <c r="AC6" s="3207"/>
    </row>
    <row r="7" spans="1:29" s="116" customFormat="1" ht="15.75" thickBot="1">
      <c r="A7" s="407" t="s">
        <v>2548</v>
      </c>
      <c r="B7" s="408"/>
      <c r="C7" s="409">
        <f>'数据-取费表'!B2</f>
        <v>43185</v>
      </c>
      <c r="D7" s="410">
        <v>100</v>
      </c>
      <c r="E7" s="411"/>
      <c r="F7" s="412">
        <f>SUMIF(46:46,YEAR(E7)&amp;"-"&amp;MONTH(E7),47:47)</f>
        <v>0</v>
      </c>
      <c r="G7" s="2692"/>
      <c r="H7" s="410">
        <f>SUMIF(46:46,YEAR(G7)&amp;"-"&amp;MONTH(G7),47:47)</f>
        <v>0</v>
      </c>
      <c r="I7" s="411"/>
      <c r="J7" s="410">
        <f>SUMIF(46:46,YEAR(I7)&amp;"-"&amp;MONTH(I7),47:47)</f>
        <v>0</v>
      </c>
      <c r="K7" s="609"/>
      <c r="L7" s="1130"/>
      <c r="M7" s="1131"/>
      <c r="N7" s="1131"/>
      <c r="O7" s="1131"/>
      <c r="P7" s="3208" t="s">
        <v>2549</v>
      </c>
      <c r="Q7" s="3236"/>
      <c r="R7" s="768" t="s">
        <v>17</v>
      </c>
      <c r="S7" s="769">
        <f t="shared" ref="S7:S14" si="0">F7</f>
        <v>0</v>
      </c>
      <c r="T7" s="768" t="s">
        <v>17</v>
      </c>
      <c r="U7" s="769">
        <f t="shared" ref="U7:U14" si="1">H7</f>
        <v>0</v>
      </c>
      <c r="V7" s="768" t="s">
        <v>17</v>
      </c>
      <c r="W7" s="769">
        <f t="shared" ref="W7:W14" si="2">J7</f>
        <v>0</v>
      </c>
      <c r="X7" s="770"/>
      <c r="Y7" s="3208" t="s">
        <v>2549</v>
      </c>
      <c r="Z7" s="3209"/>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09"/>
      <c r="L8" s="1130"/>
      <c r="M8" s="1131"/>
      <c r="N8" s="1131"/>
      <c r="O8" s="1131"/>
      <c r="P8" s="3208" t="s">
        <v>2552</v>
      </c>
      <c r="Q8" s="3209"/>
      <c r="R8" s="768" t="s">
        <v>17</v>
      </c>
      <c r="S8" s="769">
        <f t="shared" si="0"/>
        <v>0</v>
      </c>
      <c r="T8" s="768" t="s">
        <v>17</v>
      </c>
      <c r="U8" s="769">
        <f t="shared" si="1"/>
        <v>0</v>
      </c>
      <c r="V8" s="768" t="s">
        <v>17</v>
      </c>
      <c r="W8" s="769">
        <f t="shared" si="2"/>
        <v>0</v>
      </c>
      <c r="X8" s="770"/>
      <c r="Y8" s="3208" t="s">
        <v>2552</v>
      </c>
      <c r="Z8" s="3209"/>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09"/>
      <c r="L9" s="1130"/>
      <c r="M9" s="1131"/>
      <c r="N9" s="1131"/>
      <c r="O9" s="1132"/>
      <c r="P9" s="3222" t="s">
        <v>2555</v>
      </c>
      <c r="Q9" s="1793" t="str">
        <f t="shared" ref="Q9:Q14" si="6">B9</f>
        <v>用途</v>
      </c>
      <c r="R9" s="768" t="s">
        <v>17</v>
      </c>
      <c r="S9" s="769">
        <f t="shared" si="0"/>
        <v>100</v>
      </c>
      <c r="T9" s="768" t="s">
        <v>17</v>
      </c>
      <c r="U9" s="769">
        <f t="shared" si="1"/>
        <v>100</v>
      </c>
      <c r="V9" s="768" t="s">
        <v>17</v>
      </c>
      <c r="W9" s="769">
        <f t="shared" si="2"/>
        <v>100</v>
      </c>
      <c r="X9" s="770"/>
      <c r="Y9" s="3077" t="s">
        <v>2556</v>
      </c>
      <c r="Z9" s="54" t="str">
        <f t="shared" ref="Z9:Z14" si="7">Q9</f>
        <v>用途</v>
      </c>
      <c r="AA9" s="771">
        <f t="shared" si="3"/>
        <v>1</v>
      </c>
      <c r="AB9" s="771">
        <f t="shared" si="4"/>
        <v>1</v>
      </c>
      <c r="AC9" s="771">
        <f t="shared" si="5"/>
        <v>1</v>
      </c>
    </row>
    <row r="10" spans="1:29" s="425" customFormat="1" ht="27">
      <c r="A10" s="419"/>
      <c r="B10" s="420" t="s">
        <v>2557</v>
      </c>
      <c r="C10" s="421"/>
      <c r="D10" s="135">
        <v>100</v>
      </c>
      <c r="E10" s="421"/>
      <c r="F10" s="423">
        <f>SUMIF(53:53,E10,54:54)-SUMIF(53:53,C10,54:54)+100</f>
        <v>100</v>
      </c>
      <c r="G10" s="421"/>
      <c r="H10" s="135">
        <f>SUMIF(53:53,G10,54:54)-SUMIF(53:53,C10,54:54)+100</f>
        <v>100</v>
      </c>
      <c r="I10" s="421"/>
      <c r="J10" s="135">
        <f>SUMIF(53:53,I10,54:54)-SUMIF(53:53,C10,54:54)+100</f>
        <v>100</v>
      </c>
      <c r="K10" s="610"/>
      <c r="L10" s="1133"/>
      <c r="M10" s="1134"/>
      <c r="N10" s="1134"/>
      <c r="O10" s="1135"/>
      <c r="P10" s="3222"/>
      <c r="Q10" s="1793" t="str">
        <f t="shared" si="6"/>
        <v>土地使用年限（年）</v>
      </c>
      <c r="R10" s="768" t="s">
        <v>17</v>
      </c>
      <c r="S10" s="769">
        <f t="shared" si="0"/>
        <v>100</v>
      </c>
      <c r="T10" s="768" t="s">
        <v>17</v>
      </c>
      <c r="U10" s="769">
        <f t="shared" si="1"/>
        <v>100</v>
      </c>
      <c r="V10" s="768" t="s">
        <v>17</v>
      </c>
      <c r="W10" s="769">
        <f t="shared" si="2"/>
        <v>100</v>
      </c>
      <c r="X10" s="770"/>
      <c r="Y10" s="3077"/>
      <c r="Z10" s="54" t="str">
        <f t="shared" si="7"/>
        <v>土地使用年限（年）</v>
      </c>
      <c r="AA10" s="771">
        <f t="shared" si="3"/>
        <v>1</v>
      </c>
      <c r="AB10" s="771">
        <f t="shared" si="4"/>
        <v>1</v>
      </c>
      <c r="AC10" s="771">
        <f t="shared" si="5"/>
        <v>1</v>
      </c>
    </row>
    <row r="11" spans="1:29" ht="15">
      <c r="A11" s="426"/>
      <c r="B11" s="2597">
        <v>111</v>
      </c>
      <c r="C11" s="430"/>
      <c r="D11" s="135">
        <v>100</v>
      </c>
      <c r="E11" s="467"/>
      <c r="F11" s="423">
        <f>SUMIF(55:55,E11,56:56)-SUMIF(55:55,C11,56:56)+100</f>
        <v>100</v>
      </c>
      <c r="G11" s="467"/>
      <c r="H11" s="135">
        <f>SUMIF(55:55,G11,56:56)-SUMIF(55:55,C11,56:56)+100</f>
        <v>100</v>
      </c>
      <c r="I11" s="467"/>
      <c r="J11" s="135">
        <f>SUMIF(55:55,I11,56:56)-SUMIF(55:55,C11,56:56)+100</f>
        <v>100</v>
      </c>
      <c r="K11" s="611"/>
      <c r="L11" s="1136"/>
      <c r="M11" s="1129"/>
      <c r="N11" s="1129"/>
      <c r="O11" s="1137"/>
      <c r="P11" s="3222"/>
      <c r="Q11" s="1793">
        <f t="shared" si="6"/>
        <v>111</v>
      </c>
      <c r="R11" s="768" t="s">
        <v>17</v>
      </c>
      <c r="S11" s="769">
        <f t="shared" si="0"/>
        <v>100</v>
      </c>
      <c r="T11" s="768" t="s">
        <v>17</v>
      </c>
      <c r="U11" s="769">
        <f t="shared" si="1"/>
        <v>100</v>
      </c>
      <c r="V11" s="768" t="s">
        <v>17</v>
      </c>
      <c r="W11" s="769">
        <f t="shared" si="2"/>
        <v>100</v>
      </c>
      <c r="X11" s="770"/>
      <c r="Y11" s="3077"/>
      <c r="Z11" s="54">
        <f t="shared" si="7"/>
        <v>111</v>
      </c>
      <c r="AA11" s="771">
        <f t="shared" si="3"/>
        <v>1</v>
      </c>
      <c r="AB11" s="771">
        <f t="shared" si="4"/>
        <v>1</v>
      </c>
      <c r="AC11" s="771">
        <f t="shared" si="5"/>
        <v>1</v>
      </c>
    </row>
    <row r="12" spans="1:29" s="116" customFormat="1" ht="15">
      <c r="A12" s="429"/>
      <c r="B12" s="2597">
        <v>111</v>
      </c>
      <c r="C12" s="430"/>
      <c r="D12" s="431">
        <v>100</v>
      </c>
      <c r="E12" s="467"/>
      <c r="F12" s="423">
        <f>SUMIF(57:57,E12,58:58)-SUMIF(57:57,C12,58:58)+100</f>
        <v>100</v>
      </c>
      <c r="G12" s="467"/>
      <c r="H12" s="135">
        <f>SUMIF(57:57,G12,58:58)-SUMIF(57:57,C12,58:58)+100</f>
        <v>100</v>
      </c>
      <c r="I12" s="467"/>
      <c r="J12" s="135">
        <f>SUMIF(57:57,I12,58:58)-SUMIF(57:57,C12,58:58)+100</f>
        <v>100</v>
      </c>
      <c r="K12" s="611"/>
      <c r="L12" s="1130"/>
      <c r="M12" s="1131"/>
      <c r="N12" s="1131"/>
      <c r="O12" s="1132"/>
      <c r="P12" s="3222"/>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771">
        <f>D12/J12</f>
        <v>1</v>
      </c>
    </row>
    <row r="13" spans="1:29" ht="15.75" thickBot="1">
      <c r="A13" s="426"/>
      <c r="B13" s="2597">
        <v>111</v>
      </c>
      <c r="C13" s="432"/>
      <c r="D13" s="433">
        <v>100</v>
      </c>
      <c r="E13" s="467"/>
      <c r="F13" s="423">
        <f>SUMIF(59:59,E13,60:60)-SUMIF(59:59,C13,60:60)+100</f>
        <v>100</v>
      </c>
      <c r="G13" s="2693"/>
      <c r="H13" s="436">
        <f>SUMIF(59:59,G13,60:60)-SUMIF(59:59,C13,60:60)+100</f>
        <v>100</v>
      </c>
      <c r="I13" s="467"/>
      <c r="J13" s="433">
        <f>SUMIF(59:59,I13,60:60)-SUMIF(59:59,C13,60:60)+100</f>
        <v>100</v>
      </c>
      <c r="K13" s="611"/>
      <c r="L13" s="1138"/>
      <c r="M13" s="1129"/>
      <c r="N13" s="1129"/>
      <c r="O13" s="1137"/>
      <c r="P13" s="3222"/>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771">
        <f t="shared" si="5"/>
        <v>1</v>
      </c>
    </row>
    <row r="14" spans="1:29" ht="85.5">
      <c r="A14" s="438" t="s">
        <v>2559</v>
      </c>
      <c r="B14" s="68" t="s">
        <v>2709</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37" t="s">
        <v>2560</v>
      </c>
      <c r="Q14" s="1808" t="str">
        <f t="shared" si="6"/>
        <v>交通便捷度</v>
      </c>
      <c r="R14" s="772" t="s">
        <v>17</v>
      </c>
      <c r="S14" s="773">
        <f t="shared" si="0"/>
        <v>100</v>
      </c>
      <c r="T14" s="772" t="s">
        <v>17</v>
      </c>
      <c r="U14" s="773">
        <f t="shared" si="1"/>
        <v>100</v>
      </c>
      <c r="V14" s="772" t="s">
        <v>17</v>
      </c>
      <c r="W14" s="773">
        <f t="shared" si="2"/>
        <v>100</v>
      </c>
      <c r="X14" s="1811"/>
      <c r="Y14" s="3237" t="s">
        <v>2560</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38"/>
      <c r="Q15" s="1808"/>
      <c r="R15" s="772"/>
      <c r="S15" s="773"/>
      <c r="T15" s="772"/>
      <c r="U15" s="773"/>
      <c r="V15" s="772"/>
      <c r="W15" s="773"/>
      <c r="X15" s="1811"/>
      <c r="Y15" s="3238"/>
      <c r="Z15" s="1812"/>
      <c r="AA15" s="1809">
        <v>1</v>
      </c>
      <c r="AB15" s="1809">
        <v>1</v>
      </c>
      <c r="AC15" s="1809">
        <v>1</v>
      </c>
    </row>
    <row r="16" spans="1:29" ht="42.75">
      <c r="A16" s="426"/>
      <c r="B16" s="449" t="s">
        <v>2688</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38"/>
      <c r="Q16" s="1808" t="str">
        <f>B16</f>
        <v>公共配套设施</v>
      </c>
      <c r="R16" s="772" t="s">
        <v>17</v>
      </c>
      <c r="S16" s="773">
        <f>F16</f>
        <v>100</v>
      </c>
      <c r="T16" s="772" t="s">
        <v>17</v>
      </c>
      <c r="U16" s="773">
        <f>H16</f>
        <v>100</v>
      </c>
      <c r="V16" s="772" t="s">
        <v>17</v>
      </c>
      <c r="W16" s="773">
        <f>J16</f>
        <v>100</v>
      </c>
      <c r="X16" s="1811"/>
      <c r="Y16" s="3238"/>
      <c r="Z16" s="1812" t="str">
        <f>Q16</f>
        <v>公共配套设施</v>
      </c>
      <c r="AA16" s="1809">
        <f t="shared" si="3"/>
        <v>1</v>
      </c>
      <c r="AB16" s="1809">
        <f t="shared" si="4"/>
        <v>1</v>
      </c>
      <c r="AC16" s="1809">
        <f t="shared" si="5"/>
        <v>1</v>
      </c>
    </row>
    <row r="17" spans="1:29" ht="15">
      <c r="A17" s="426"/>
      <c r="B17" s="454"/>
      <c r="C17" s="2605"/>
      <c r="D17" s="446"/>
      <c r="E17" s="445"/>
      <c r="F17" s="447"/>
      <c r="G17" s="445"/>
      <c r="H17" s="446"/>
      <c r="I17" s="445"/>
      <c r="J17" s="446"/>
      <c r="K17" s="613"/>
      <c r="L17" s="1138"/>
      <c r="M17" s="1129"/>
      <c r="N17" s="1129"/>
      <c r="O17" s="1137"/>
      <c r="P17" s="3238"/>
      <c r="Q17" s="1808"/>
      <c r="R17" s="772"/>
      <c r="S17" s="773"/>
      <c r="T17" s="772"/>
      <c r="U17" s="773"/>
      <c r="V17" s="772"/>
      <c r="W17" s="773"/>
      <c r="X17" s="1811"/>
      <c r="Y17" s="3238"/>
      <c r="Z17" s="1812"/>
      <c r="AA17" s="1809">
        <v>1</v>
      </c>
      <c r="AB17" s="1809">
        <v>1</v>
      </c>
      <c r="AC17" s="1809">
        <v>1</v>
      </c>
    </row>
    <row r="18" spans="1:29" ht="28.5">
      <c r="A18" s="426"/>
      <c r="B18" s="1382" t="s">
        <v>2689</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38"/>
      <c r="Q18" s="1808" t="str">
        <f>B18</f>
        <v>基础设施水平</v>
      </c>
      <c r="R18" s="772" t="s">
        <v>17</v>
      </c>
      <c r="S18" s="773">
        <f>F18</f>
        <v>100</v>
      </c>
      <c r="T18" s="772" t="s">
        <v>17</v>
      </c>
      <c r="U18" s="773">
        <f>H18</f>
        <v>100</v>
      </c>
      <c r="V18" s="772" t="s">
        <v>17</v>
      </c>
      <c r="W18" s="773">
        <f>J18</f>
        <v>100</v>
      </c>
      <c r="X18" s="1811"/>
      <c r="Y18" s="3238"/>
      <c r="Z18" s="1812" t="str">
        <f>Q18</f>
        <v>基础设施水平</v>
      </c>
      <c r="AA18" s="1809">
        <f t="shared" ref="AA18" si="8">D18/F18</f>
        <v>1</v>
      </c>
      <c r="AB18" s="1809">
        <f t="shared" ref="AB18" si="9">D18/H18</f>
        <v>1</v>
      </c>
      <c r="AC18" s="1809">
        <f t="shared" ref="AC18" si="10">D18/J18</f>
        <v>1</v>
      </c>
    </row>
    <row r="19" spans="1:29" ht="15">
      <c r="A19" s="426"/>
      <c r="B19" s="1382"/>
      <c r="C19" s="2605"/>
      <c r="D19" s="448"/>
      <c r="E19" s="2605"/>
      <c r="F19" s="451"/>
      <c r="G19" s="2605"/>
      <c r="H19" s="446"/>
      <c r="I19" s="445"/>
      <c r="J19" s="446"/>
      <c r="K19" s="1381"/>
      <c r="L19" s="1138"/>
      <c r="M19" s="1129"/>
      <c r="N19" s="1129"/>
      <c r="O19" s="1137"/>
      <c r="P19" s="3238"/>
      <c r="Q19" s="1808"/>
      <c r="R19" s="772"/>
      <c r="S19" s="773"/>
      <c r="T19" s="772"/>
      <c r="U19" s="773"/>
      <c r="V19" s="772"/>
      <c r="W19" s="773"/>
      <c r="X19" s="1811"/>
      <c r="Y19" s="3238"/>
      <c r="Z19" s="1812"/>
      <c r="AA19" s="1809">
        <v>1</v>
      </c>
      <c r="AB19" s="1809">
        <v>1</v>
      </c>
      <c r="AC19" s="1809">
        <v>1</v>
      </c>
    </row>
    <row r="20" spans="1:29" ht="57">
      <c r="A20" s="426"/>
      <c r="B20" s="449" t="s">
        <v>2710</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38"/>
      <c r="Q20" s="1808" t="str">
        <f>B20</f>
        <v>自然及人文环境</v>
      </c>
      <c r="R20" s="772" t="s">
        <v>17</v>
      </c>
      <c r="S20" s="773">
        <f>F20</f>
        <v>100</v>
      </c>
      <c r="T20" s="772" t="s">
        <v>17</v>
      </c>
      <c r="U20" s="773">
        <f>H20</f>
        <v>100</v>
      </c>
      <c r="V20" s="772" t="s">
        <v>17</v>
      </c>
      <c r="W20" s="773">
        <f>J20</f>
        <v>100</v>
      </c>
      <c r="X20" s="1811"/>
      <c r="Y20" s="323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38"/>
      <c r="Q21" s="1808"/>
      <c r="R21" s="772"/>
      <c r="S21" s="773"/>
      <c r="T21" s="772"/>
      <c r="U21" s="773"/>
      <c r="V21" s="772"/>
      <c r="W21" s="773"/>
      <c r="X21" s="1811"/>
      <c r="Y21" s="3238"/>
      <c r="Z21" s="1812"/>
      <c r="AA21" s="1809">
        <v>1</v>
      </c>
      <c r="AB21" s="1809">
        <v>1</v>
      </c>
      <c r="AC21" s="1809">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38"/>
      <c r="Q22" s="1808" t="str">
        <f>B22</f>
        <v>楼层</v>
      </c>
      <c r="R22" s="772" t="s">
        <v>17</v>
      </c>
      <c r="S22" s="773">
        <f>F22</f>
        <v>100</v>
      </c>
      <c r="T22" s="772" t="s">
        <v>17</v>
      </c>
      <c r="U22" s="773">
        <f>H22</f>
        <v>100</v>
      </c>
      <c r="V22" s="772" t="s">
        <v>17</v>
      </c>
      <c r="W22" s="773">
        <f>J22</f>
        <v>100</v>
      </c>
      <c r="X22" s="1811"/>
      <c r="Y22" s="3238"/>
      <c r="Z22" s="1812" t="str">
        <f>Q22</f>
        <v>楼层</v>
      </c>
      <c r="AA22" s="1809">
        <f t="shared" si="3"/>
        <v>1</v>
      </c>
      <c r="AB22" s="1809">
        <f t="shared" si="4"/>
        <v>1</v>
      </c>
      <c r="AC22" s="1809">
        <f t="shared" si="5"/>
        <v>1</v>
      </c>
    </row>
    <row r="23" spans="1:29" ht="15">
      <c r="A23" s="403"/>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38"/>
      <c r="Q23" s="1808">
        <f>B23</f>
        <v>111</v>
      </c>
      <c r="R23" s="772" t="s">
        <v>17</v>
      </c>
      <c r="S23" s="773">
        <f>F23</f>
        <v>100</v>
      </c>
      <c r="T23" s="772" t="s">
        <v>17</v>
      </c>
      <c r="U23" s="773">
        <f>H23</f>
        <v>100</v>
      </c>
      <c r="V23" s="772" t="s">
        <v>17</v>
      </c>
      <c r="W23" s="773">
        <f>J23</f>
        <v>100</v>
      </c>
      <c r="X23" s="1811"/>
      <c r="Y23" s="3238"/>
      <c r="Z23" s="1812">
        <f>Q23</f>
        <v>111</v>
      </c>
      <c r="AA23" s="1809">
        <f t="shared" si="3"/>
        <v>1</v>
      </c>
      <c r="AB23" s="1809">
        <f t="shared" si="4"/>
        <v>1</v>
      </c>
      <c r="AC23" s="1809">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38"/>
      <c r="Q24" s="1808">
        <f t="shared" ref="Q24:Q34" si="11">B24</f>
        <v>111</v>
      </c>
      <c r="R24" s="772" t="s">
        <v>17</v>
      </c>
      <c r="S24" s="773">
        <f>F24</f>
        <v>100</v>
      </c>
      <c r="T24" s="772" t="s">
        <v>17</v>
      </c>
      <c r="U24" s="773">
        <f>H24</f>
        <v>100</v>
      </c>
      <c r="V24" s="772" t="s">
        <v>17</v>
      </c>
      <c r="W24" s="773">
        <f>J24</f>
        <v>100</v>
      </c>
      <c r="X24" s="1811"/>
      <c r="Y24" s="3238"/>
      <c r="Z24" s="1812">
        <f>Q24</f>
        <v>111</v>
      </c>
      <c r="AA24" s="1809">
        <f t="shared" si="3"/>
        <v>1</v>
      </c>
      <c r="AB24" s="1809">
        <f t="shared" si="4"/>
        <v>1</v>
      </c>
      <c r="AC24" s="1809">
        <f t="shared" si="5"/>
        <v>1</v>
      </c>
    </row>
    <row r="25" spans="1:29" s="116" customFormat="1" ht="15.75" thickBot="1">
      <c r="A25" s="429"/>
      <c r="B25" s="2597">
        <v>111</v>
      </c>
      <c r="C25" s="2694"/>
      <c r="D25" s="663">
        <v>100</v>
      </c>
      <c r="E25" s="2694"/>
      <c r="F25" s="664">
        <f>SUMIF(75:75,E25,76:76)-SUMIF(75:75,C25,76:76)+100</f>
        <v>100</v>
      </c>
      <c r="G25" s="2694"/>
      <c r="H25" s="663">
        <f>SUMIF(75:75,G25,76:76)-SUMIF(75:75,C25,76:76)+100</f>
        <v>100</v>
      </c>
      <c r="I25" s="2694"/>
      <c r="J25" s="663">
        <f>SUMIF(75:75,I25,76:76)-SUMIF(75:75,C25,76:76)+100</f>
        <v>100</v>
      </c>
      <c r="K25" s="611"/>
      <c r="L25" s="1130"/>
      <c r="M25" s="1131"/>
      <c r="N25" s="1131"/>
      <c r="O25" s="1132"/>
      <c r="P25" s="3238"/>
      <c r="Q25" s="1793">
        <f t="shared" si="11"/>
        <v>111</v>
      </c>
      <c r="R25" s="768" t="s">
        <v>17</v>
      </c>
      <c r="S25" s="769">
        <f>F25</f>
        <v>100</v>
      </c>
      <c r="T25" s="768" t="s">
        <v>17</v>
      </c>
      <c r="U25" s="769">
        <f>H25</f>
        <v>100</v>
      </c>
      <c r="V25" s="768" t="s">
        <v>17</v>
      </c>
      <c r="W25" s="769">
        <f>J25</f>
        <v>100</v>
      </c>
      <c r="X25" s="770"/>
      <c r="Y25" s="3238"/>
      <c r="Z25" s="54">
        <f>Q25</f>
        <v>111</v>
      </c>
      <c r="AA25" s="1809">
        <f>D25/F25</f>
        <v>1</v>
      </c>
      <c r="AB25" s="1809">
        <f>D25/H25</f>
        <v>1</v>
      </c>
      <c r="AC25" s="1809">
        <f>D25/J25</f>
        <v>1</v>
      </c>
    </row>
    <row r="26" spans="1:29" ht="15">
      <c r="A26" s="464" t="s">
        <v>2563</v>
      </c>
      <c r="B26" s="70" t="s">
        <v>2714</v>
      </c>
      <c r="C26" s="2675"/>
      <c r="D26" s="465">
        <v>100</v>
      </c>
      <c r="E26" s="2675"/>
      <c r="F26" s="665">
        <f>SUMIF(77:77,E26,78:78)-SUMIF(77:77,C26,78:78)+100</f>
        <v>100</v>
      </c>
      <c r="G26" s="2675"/>
      <c r="H26" s="465">
        <f>SUMIF(77:77,G26,78:78)-SUMIF(77:77,C26,78:78)+100</f>
        <v>100</v>
      </c>
      <c r="I26" s="2675"/>
      <c r="J26" s="465">
        <f>SUMIF(77:77,I26,78:78)-SUMIF(77:77,C26,78:78)+100</f>
        <v>100</v>
      </c>
      <c r="K26" s="610"/>
      <c r="L26" s="1138"/>
      <c r="M26" s="1129"/>
      <c r="N26" s="1129"/>
      <c r="O26" s="1137"/>
      <c r="P26" s="3239"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0" t="s">
        <v>2565</v>
      </c>
      <c r="Z26" s="1812" t="str">
        <f t="shared" ref="Z26:Z34" si="15">Q26</f>
        <v>公共部分装修</v>
      </c>
      <c r="AA26" s="1809">
        <f t="shared" si="3"/>
        <v>1</v>
      </c>
      <c r="AB26" s="1809">
        <f t="shared" si="4"/>
        <v>1</v>
      </c>
      <c r="AC26" s="1809">
        <f t="shared" si="5"/>
        <v>1</v>
      </c>
    </row>
    <row r="27" spans="1:29" s="469" customFormat="1" ht="15">
      <c r="A27" s="466"/>
      <c r="B27" s="420" t="s">
        <v>2715</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40"/>
      <c r="Q27" s="774" t="str">
        <f t="shared" si="11"/>
        <v>成新率</v>
      </c>
      <c r="R27" s="775" t="s">
        <v>17</v>
      </c>
      <c r="S27" s="776" t="e">
        <f t="shared" si="12"/>
        <v>#N/A</v>
      </c>
      <c r="T27" s="775" t="s">
        <v>17</v>
      </c>
      <c r="U27" s="776" t="e">
        <f t="shared" si="13"/>
        <v>#N/A</v>
      </c>
      <c r="V27" s="775" t="s">
        <v>17</v>
      </c>
      <c r="W27" s="776" t="e">
        <f t="shared" si="14"/>
        <v>#N/A</v>
      </c>
      <c r="X27" s="777"/>
      <c r="Y27" s="3240"/>
      <c r="Z27" s="778" t="str">
        <f t="shared" si="15"/>
        <v>成新率</v>
      </c>
      <c r="AA27" s="1809" t="e">
        <f t="shared" si="3"/>
        <v>#N/A</v>
      </c>
      <c r="AB27" s="1809" t="e">
        <f t="shared" si="4"/>
        <v>#N/A</v>
      </c>
      <c r="AC27" s="1809"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40"/>
      <c r="Q28" s="1808" t="str">
        <f t="shared" si="11"/>
        <v>物业等级</v>
      </c>
      <c r="R28" s="772" t="s">
        <v>17</v>
      </c>
      <c r="S28" s="773">
        <f t="shared" si="12"/>
        <v>100</v>
      </c>
      <c r="T28" s="772" t="s">
        <v>17</v>
      </c>
      <c r="U28" s="773">
        <f t="shared" si="13"/>
        <v>100</v>
      </c>
      <c r="V28" s="772" t="s">
        <v>17</v>
      </c>
      <c r="W28" s="773">
        <f t="shared" si="14"/>
        <v>100</v>
      </c>
      <c r="X28" s="1811"/>
      <c r="Y28" s="3240"/>
      <c r="Z28" s="1812" t="str">
        <f t="shared" si="15"/>
        <v>物业等级</v>
      </c>
      <c r="AA28" s="1809">
        <f t="shared" si="3"/>
        <v>1</v>
      </c>
      <c r="AB28" s="1809">
        <f t="shared" si="4"/>
        <v>1</v>
      </c>
      <c r="AC28" s="1809">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40"/>
      <c r="Q29" s="1808" t="str">
        <f t="shared" si="11"/>
        <v>有无电梯</v>
      </c>
      <c r="R29" s="772" t="s">
        <v>17</v>
      </c>
      <c r="S29" s="773">
        <f t="shared" si="12"/>
        <v>100</v>
      </c>
      <c r="T29" s="772" t="s">
        <v>17</v>
      </c>
      <c r="U29" s="773">
        <f t="shared" si="13"/>
        <v>100</v>
      </c>
      <c r="V29" s="772" t="s">
        <v>17</v>
      </c>
      <c r="W29" s="773">
        <f t="shared" si="14"/>
        <v>100</v>
      </c>
      <c r="X29" s="1811"/>
      <c r="Y29" s="3240"/>
      <c r="Z29" s="1812" t="str">
        <f t="shared" si="15"/>
        <v>有无电梯</v>
      </c>
      <c r="AA29" s="1809">
        <f t="shared" si="3"/>
        <v>1</v>
      </c>
      <c r="AB29" s="1809">
        <f t="shared" si="4"/>
        <v>1</v>
      </c>
      <c r="AC29" s="1809">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40"/>
      <c r="Q30" s="1808" t="str">
        <f t="shared" si="11"/>
        <v>建筑面积</v>
      </c>
      <c r="R30" s="772" t="s">
        <v>17</v>
      </c>
      <c r="S30" s="773" t="e">
        <f t="shared" si="12"/>
        <v>#N/A</v>
      </c>
      <c r="T30" s="772" t="s">
        <v>17</v>
      </c>
      <c r="U30" s="773" t="e">
        <f t="shared" si="13"/>
        <v>#N/A</v>
      </c>
      <c r="V30" s="772" t="s">
        <v>17</v>
      </c>
      <c r="W30" s="773" t="e">
        <f t="shared" si="14"/>
        <v>#N/A</v>
      </c>
      <c r="X30" s="1811"/>
      <c r="Y30" s="3240"/>
      <c r="Z30" s="1812" t="str">
        <f t="shared" si="15"/>
        <v>建筑面积</v>
      </c>
      <c r="AA30" s="1809" t="e">
        <f t="shared" si="3"/>
        <v>#N/A</v>
      </c>
      <c r="AB30" s="1809" t="e">
        <f t="shared" si="4"/>
        <v>#N/A</v>
      </c>
      <c r="AC30" s="1809" t="e">
        <f t="shared" si="5"/>
        <v>#N/A</v>
      </c>
    </row>
    <row r="31" spans="1:29" s="116" customFormat="1" ht="15">
      <c r="A31" s="471"/>
      <c r="B31" s="420" t="s">
        <v>2739</v>
      </c>
      <c r="C31" s="655"/>
      <c r="D31" s="135">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40"/>
      <c r="Q31" s="1793" t="str">
        <f t="shared" si="11"/>
        <v>是否封闭</v>
      </c>
      <c r="R31" s="768" t="s">
        <v>17</v>
      </c>
      <c r="S31" s="769">
        <f t="shared" si="12"/>
        <v>100</v>
      </c>
      <c r="T31" s="768" t="s">
        <v>17</v>
      </c>
      <c r="U31" s="769">
        <f t="shared" si="13"/>
        <v>100</v>
      </c>
      <c r="V31" s="768" t="s">
        <v>17</v>
      </c>
      <c r="W31" s="769">
        <f t="shared" si="14"/>
        <v>100</v>
      </c>
      <c r="X31" s="770"/>
      <c r="Y31" s="3240"/>
      <c r="Z31" s="54" t="str">
        <f t="shared" si="15"/>
        <v>是否封闭</v>
      </c>
      <c r="AA31" s="771">
        <f t="shared" si="3"/>
        <v>1</v>
      </c>
      <c r="AB31" s="771">
        <f t="shared" si="4"/>
        <v>1</v>
      </c>
      <c r="AC31" s="771">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40" t="s">
        <v>2565</v>
      </c>
      <c r="Q32" s="1808">
        <f t="shared" si="11"/>
        <v>111</v>
      </c>
      <c r="R32" s="772" t="s">
        <v>17</v>
      </c>
      <c r="S32" s="773">
        <f t="shared" si="12"/>
        <v>100</v>
      </c>
      <c r="T32" s="772" t="s">
        <v>17</v>
      </c>
      <c r="U32" s="773">
        <f t="shared" si="13"/>
        <v>100</v>
      </c>
      <c r="V32" s="772" t="s">
        <v>17</v>
      </c>
      <c r="W32" s="773">
        <f t="shared" si="14"/>
        <v>100</v>
      </c>
      <c r="X32" s="1811"/>
      <c r="Y32" s="3240" t="s">
        <v>2565</v>
      </c>
      <c r="Z32" s="1812">
        <f t="shared" si="15"/>
        <v>111</v>
      </c>
      <c r="AA32" s="1809">
        <f t="shared" si="3"/>
        <v>1</v>
      </c>
      <c r="AB32" s="1809">
        <f t="shared" si="4"/>
        <v>1</v>
      </c>
      <c r="AC32" s="1809">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40"/>
      <c r="Q33" s="1808">
        <f t="shared" si="11"/>
        <v>111</v>
      </c>
      <c r="R33" s="772" t="s">
        <v>17</v>
      </c>
      <c r="S33" s="773">
        <f t="shared" si="12"/>
        <v>100</v>
      </c>
      <c r="T33" s="772" t="s">
        <v>17</v>
      </c>
      <c r="U33" s="773">
        <f t="shared" si="13"/>
        <v>100</v>
      </c>
      <c r="V33" s="772" t="s">
        <v>17</v>
      </c>
      <c r="W33" s="773">
        <f t="shared" si="14"/>
        <v>100</v>
      </c>
      <c r="X33" s="1811"/>
      <c r="Y33" s="3240"/>
      <c r="Z33" s="1812">
        <f t="shared" si="15"/>
        <v>111</v>
      </c>
      <c r="AA33" s="1809">
        <f t="shared" si="3"/>
        <v>1</v>
      </c>
      <c r="AB33" s="1809">
        <f t="shared" si="4"/>
        <v>1</v>
      </c>
      <c r="AC33" s="1809">
        <f t="shared" si="5"/>
        <v>1</v>
      </c>
    </row>
    <row r="34" spans="1:29" ht="15.75" thickBot="1">
      <c r="A34" s="476"/>
      <c r="B34" s="2599">
        <v>111</v>
      </c>
      <c r="C34" s="435"/>
      <c r="D34" s="436">
        <v>100</v>
      </c>
      <c r="E34" s="2693"/>
      <c r="F34" s="437">
        <f>SUMIF(95:95,E34,96:96)-SUMIF(95:95,C34,96:96)+100</f>
        <v>100</v>
      </c>
      <c r="G34" s="2693"/>
      <c r="H34" s="436">
        <f>SUMIF(95:95,G34,96:96)-SUMIF(95:95,C34,96:96)+100</f>
        <v>100</v>
      </c>
      <c r="I34" s="2693"/>
      <c r="J34" s="436">
        <f>SUMIF(95:95,I34,96:96)-SUMIF(95:95,C34,96:96)+100</f>
        <v>100</v>
      </c>
      <c r="K34" s="611"/>
      <c r="L34" s="1138"/>
      <c r="M34" s="1129"/>
      <c r="N34" s="1129"/>
      <c r="O34" s="1137"/>
      <c r="P34" s="3240"/>
      <c r="Q34" s="1808">
        <f t="shared" si="11"/>
        <v>111</v>
      </c>
      <c r="R34" s="772" t="s">
        <v>17</v>
      </c>
      <c r="S34" s="773">
        <f t="shared" si="12"/>
        <v>100</v>
      </c>
      <c r="T34" s="772" t="s">
        <v>17</v>
      </c>
      <c r="U34" s="773">
        <f t="shared" si="13"/>
        <v>100</v>
      </c>
      <c r="V34" s="772" t="s">
        <v>17</v>
      </c>
      <c r="W34" s="773">
        <f t="shared" si="14"/>
        <v>100</v>
      </c>
      <c r="X34" s="1811"/>
      <c r="Y34" s="3240"/>
      <c r="Z34" s="1812">
        <f t="shared" si="15"/>
        <v>111</v>
      </c>
      <c r="AA34" s="1809">
        <f t="shared" si="3"/>
        <v>1</v>
      </c>
      <c r="AB34" s="1809">
        <f t="shared" si="4"/>
        <v>1</v>
      </c>
      <c r="AC34" s="1809">
        <f t="shared" si="5"/>
        <v>1</v>
      </c>
    </row>
    <row r="35" spans="1:29" ht="15">
      <c r="A35" s="477" t="s">
        <v>2577</v>
      </c>
      <c r="B35" s="478"/>
      <c r="C35" s="1405" t="s">
        <v>1</v>
      </c>
      <c r="D35" s="1406"/>
      <c r="E35" s="1407"/>
      <c r="F35" s="1408"/>
      <c r="G35" s="1409"/>
      <c r="H35" s="1410"/>
      <c r="I35" s="1407"/>
      <c r="J35" s="1410"/>
      <c r="K35" s="781"/>
      <c r="L35" s="1141"/>
      <c r="M35" s="1142"/>
      <c r="N35" s="1129"/>
      <c r="O35" s="1142"/>
      <c r="P35" s="3222" t="str">
        <f>A35</f>
        <v>成交单价（元/平方米）</v>
      </c>
      <c r="Q35" s="3222"/>
      <c r="R35" s="3255">
        <f>E35</f>
        <v>0</v>
      </c>
      <c r="S35" s="3255"/>
      <c r="T35" s="3255">
        <f>G35</f>
        <v>0</v>
      </c>
      <c r="U35" s="3255"/>
      <c r="V35" s="3255">
        <f>I35</f>
        <v>0</v>
      </c>
      <c r="W35" s="3255"/>
      <c r="X35" s="757"/>
      <c r="Y35" s="779"/>
      <c r="Z35" s="757"/>
      <c r="AA35" s="757"/>
      <c r="AB35" s="757"/>
      <c r="AC35" s="757"/>
    </row>
    <row r="36" spans="1:29" ht="15.75" thickBot="1">
      <c r="A36" s="484" t="s">
        <v>2669</v>
      </c>
      <c r="B36" s="485"/>
      <c r="C36" s="1411" t="e">
        <f>R37</f>
        <v>#DIV/0!</v>
      </c>
      <c r="D36" s="1412"/>
      <c r="E36" s="1413" t="e">
        <f>R36</f>
        <v>#DIV/0!</v>
      </c>
      <c r="F36" s="1413"/>
      <c r="G36" s="1411" t="e">
        <f>T36</f>
        <v>#DIV/0!</v>
      </c>
      <c r="H36" s="1412"/>
      <c r="I36" s="1413" t="e">
        <f>V36</f>
        <v>#DIV/0!</v>
      </c>
      <c r="J36" s="1412"/>
      <c r="K36" s="782"/>
      <c r="L36" s="1141"/>
      <c r="M36" s="1142"/>
      <c r="N36" s="1129"/>
      <c r="O36" s="1142"/>
      <c r="P36" s="3222" t="str">
        <f>A36</f>
        <v>比较价值（元/平方米）</v>
      </c>
      <c r="Q36" s="3222"/>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7"/>
      <c r="Y36" s="757"/>
      <c r="Z36" s="757"/>
      <c r="AA36" s="757"/>
      <c r="AB36" s="757"/>
      <c r="AC36" s="757"/>
    </row>
    <row r="37" spans="1:29" ht="15.75" thickBot="1">
      <c r="A37" s="490" t="s">
        <v>2670</v>
      </c>
      <c r="B37" s="491"/>
      <c r="C37" s="1415" t="e">
        <f>R37</f>
        <v>#DIV/0!</v>
      </c>
      <c r="D37" s="1415"/>
      <c r="E37" s="1415"/>
      <c r="F37" s="1415"/>
      <c r="G37" s="1415"/>
      <c r="H37" s="1415"/>
      <c r="I37" s="1415"/>
      <c r="J37" s="1415"/>
      <c r="K37" s="783"/>
      <c r="L37" s="1141"/>
      <c r="M37" s="1142"/>
      <c r="N37" s="1142"/>
      <c r="O37" s="1142"/>
      <c r="P37" s="3242" t="str">
        <f>A37</f>
        <v>估价对象XX用房的比较价值（楼面单价，元/平方米）</v>
      </c>
      <c r="Q37" s="3243"/>
      <c r="R37" s="3254" t="e">
        <f>IF(F1="售价",ROUND(AVERAGE(R36:V36),0),ROUND(AVERAGE(R36:V36),1))</f>
        <v>#DIV/0!</v>
      </c>
      <c r="S37" s="3254"/>
      <c r="T37" s="3254"/>
      <c r="U37" s="3254"/>
      <c r="V37" s="3254"/>
      <c r="W37" s="3254"/>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1"/>
      <c r="Q45" s="502"/>
    </row>
    <row r="46" spans="1:29" s="506" customFormat="1" ht="15">
      <c r="A46" s="503" t="s">
        <v>2548</v>
      </c>
      <c r="B46" s="504"/>
      <c r="C46" s="1572" t="str">
        <f>YEAR(C7)&amp;"-"&amp;MONTH(C7)</f>
        <v>2018-3</v>
      </c>
      <c r="D46" s="1573">
        <f>EDATE(C46,-1)</f>
        <v>43132</v>
      </c>
      <c r="E46" s="1573">
        <f t="shared" ref="E46:O46" si="16">EDATE(D46,-1)</f>
        <v>43101</v>
      </c>
      <c r="F46" s="1573">
        <f t="shared" si="16"/>
        <v>43070</v>
      </c>
      <c r="G46" s="1573">
        <f t="shared" si="16"/>
        <v>43040</v>
      </c>
      <c r="H46" s="1573">
        <f t="shared" si="16"/>
        <v>43009</v>
      </c>
      <c r="I46" s="1573">
        <f t="shared" si="16"/>
        <v>42979</v>
      </c>
      <c r="J46" s="1573">
        <f t="shared" si="16"/>
        <v>42948</v>
      </c>
      <c r="K46" s="1573">
        <f t="shared" si="16"/>
        <v>42917</v>
      </c>
      <c r="L46" s="1573">
        <f t="shared" si="16"/>
        <v>42887</v>
      </c>
      <c r="M46" s="1573">
        <f t="shared" si="16"/>
        <v>42856</v>
      </c>
      <c r="N46" s="1573">
        <f t="shared" si="16"/>
        <v>42826</v>
      </c>
      <c r="O46" s="1573">
        <f t="shared" si="16"/>
        <v>42795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2588</v>
      </c>
      <c r="B51" s="526" t="s">
        <v>2554</v>
      </c>
      <c r="C51" s="527">
        <f>C9</f>
        <v>0</v>
      </c>
      <c r="D51" s="528"/>
      <c r="E51" s="528"/>
      <c r="F51" s="528"/>
      <c r="G51" s="528"/>
      <c r="H51" s="528"/>
      <c r="I51" s="528"/>
      <c r="J51" s="528"/>
      <c r="K51" s="529"/>
      <c r="L51" s="530"/>
      <c r="M51" s="531"/>
      <c r="N51" s="1150"/>
      <c r="O51" s="1150"/>
      <c r="P51" s="44"/>
      <c r="Q51" s="502"/>
    </row>
    <row r="52" spans="1:17" ht="15.75" thickBot="1">
      <c r="A52" s="532"/>
      <c r="B52" s="533"/>
      <c r="C52" s="534">
        <v>100</v>
      </c>
      <c r="D52" s="534"/>
      <c r="E52" s="534"/>
      <c r="F52" s="534"/>
      <c r="G52" s="534"/>
      <c r="H52" s="534"/>
      <c r="I52" s="534"/>
      <c r="J52" s="534"/>
      <c r="K52" s="534"/>
      <c r="L52" s="534"/>
      <c r="M52" s="535"/>
      <c r="N52" s="1151"/>
      <c r="O52" s="1151"/>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50"/>
      <c r="O53" s="1150"/>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4"/>
      <c r="Q54" s="502"/>
    </row>
    <row r="55" spans="1:17" ht="15.75" thickTop="1">
      <c r="A55" s="532"/>
      <c r="B55" s="658">
        <f>B11</f>
        <v>111</v>
      </c>
      <c r="C55" s="547"/>
      <c r="D55" s="547"/>
      <c r="E55" s="547"/>
      <c r="F55" s="547"/>
      <c r="G55" s="547"/>
      <c r="H55" s="547"/>
      <c r="I55" s="547"/>
      <c r="J55" s="547"/>
      <c r="K55" s="548"/>
      <c r="L55" s="549"/>
      <c r="M55" s="550"/>
      <c r="N55" s="1150"/>
      <c r="O55" s="1150"/>
      <c r="P55" s="44"/>
      <c r="Q55" s="502"/>
    </row>
    <row r="56" spans="1:17" ht="15.75" thickBot="1">
      <c r="A56" s="532"/>
      <c r="B56" s="533"/>
      <c r="C56" s="558"/>
      <c r="D56" s="534"/>
      <c r="E56" s="534"/>
      <c r="F56" s="534"/>
      <c r="G56" s="534"/>
      <c r="H56" s="534"/>
      <c r="I56" s="534"/>
      <c r="J56" s="534"/>
      <c r="K56" s="534"/>
      <c r="L56" s="534"/>
      <c r="M56" s="535"/>
      <c r="N56" s="1151"/>
      <c r="O56" s="1151"/>
      <c r="P56" s="44"/>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50"/>
      <c r="O63" s="1150"/>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80"/>
      <c r="N65" s="1151"/>
      <c r="O65" s="1151"/>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50"/>
      <c r="O67" s="1150"/>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4"/>
      <c r="Q68" s="502"/>
    </row>
    <row r="69" spans="1:17" ht="15.75" thickTop="1">
      <c r="A69" s="532"/>
      <c r="B69" s="536" t="s">
        <v>2729</v>
      </c>
      <c r="C69" s="552"/>
      <c r="D69" s="552"/>
      <c r="E69" s="552"/>
      <c r="F69" s="552"/>
      <c r="G69" s="552"/>
      <c r="H69" s="581"/>
      <c r="I69" s="581"/>
      <c r="J69" s="581"/>
      <c r="K69" s="582"/>
      <c r="L69" s="583"/>
      <c r="M69" s="584"/>
      <c r="N69" s="1150"/>
      <c r="O69" s="1150"/>
      <c r="P69" s="44"/>
      <c r="Q69" s="502"/>
    </row>
    <row r="70" spans="1:17" ht="15.75" thickBot="1">
      <c r="A70" s="532"/>
      <c r="B70" s="541"/>
      <c r="C70" s="542">
        <v>100</v>
      </c>
      <c r="D70" s="542">
        <f>C70-$K22</f>
        <v>100</v>
      </c>
      <c r="E70" s="542"/>
      <c r="F70" s="542"/>
      <c r="G70" s="542"/>
      <c r="H70" s="542"/>
      <c r="I70" s="542"/>
      <c r="J70" s="542"/>
      <c r="K70" s="542"/>
      <c r="L70" s="542"/>
      <c r="M70" s="543"/>
      <c r="N70" s="1151"/>
      <c r="O70" s="1151"/>
      <c r="P70" s="44"/>
      <c r="Q70" s="502"/>
    </row>
    <row r="71" spans="1:17" s="116" customFormat="1" ht="15.75" thickTop="1">
      <c r="A71" s="577"/>
      <c r="B71" s="536">
        <f>B23</f>
        <v>111</v>
      </c>
      <c r="C71" s="547"/>
      <c r="D71" s="547"/>
      <c r="E71" s="547"/>
      <c r="F71" s="547"/>
      <c r="G71" s="552"/>
      <c r="H71" s="552"/>
      <c r="I71" s="552"/>
      <c r="J71" s="552"/>
      <c r="K71" s="552"/>
      <c r="L71" s="578"/>
      <c r="M71" s="579"/>
      <c r="N71" s="1149"/>
      <c r="O71" s="1149"/>
      <c r="P71" s="44"/>
      <c r="Q71" s="502"/>
    </row>
    <row r="72" spans="1:17" s="116" customFormat="1" ht="15.75" thickBot="1">
      <c r="A72" s="577"/>
      <c r="B72" s="541"/>
      <c r="C72" s="558"/>
      <c r="D72" s="534"/>
      <c r="E72" s="534"/>
      <c r="F72" s="534"/>
      <c r="G72" s="534"/>
      <c r="H72" s="534"/>
      <c r="I72" s="534"/>
      <c r="J72" s="534"/>
      <c r="K72" s="534"/>
      <c r="L72" s="534"/>
      <c r="M72" s="535"/>
      <c r="N72" s="1151"/>
      <c r="O72" s="1151"/>
      <c r="P72" s="44"/>
      <c r="Q72" s="502"/>
    </row>
    <row r="73" spans="1:17" s="116" customFormat="1" ht="15.75" thickTop="1">
      <c r="A73" s="577"/>
      <c r="B73" s="536">
        <f>B24</f>
        <v>111</v>
      </c>
      <c r="C73" s="547"/>
      <c r="D73" s="547"/>
      <c r="E73" s="547"/>
      <c r="F73" s="547"/>
      <c r="G73" s="552"/>
      <c r="H73" s="552"/>
      <c r="I73" s="552"/>
      <c r="J73" s="552"/>
      <c r="K73" s="552"/>
      <c r="L73" s="552"/>
      <c r="M73" s="579"/>
      <c r="N73" s="1149"/>
      <c r="O73" s="1149"/>
      <c r="P73" s="44"/>
      <c r="Q73" s="502"/>
    </row>
    <row r="74" spans="1:17" s="116" customFormat="1" ht="15.75" thickBot="1">
      <c r="A74" s="577"/>
      <c r="B74" s="541"/>
      <c r="C74" s="558"/>
      <c r="D74" s="534"/>
      <c r="E74" s="534"/>
      <c r="F74" s="534"/>
      <c r="G74" s="534"/>
      <c r="H74" s="534"/>
      <c r="I74" s="534"/>
      <c r="J74" s="534"/>
      <c r="K74" s="534"/>
      <c r="L74" s="534"/>
      <c r="M74" s="535"/>
      <c r="N74" s="1151"/>
      <c r="O74" s="1151"/>
      <c r="P74" s="44"/>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2563</v>
      </c>
      <c r="B77" s="526" t="s">
        <v>2616</v>
      </c>
      <c r="C77" s="552"/>
      <c r="D77" s="552"/>
      <c r="E77" s="528"/>
      <c r="F77" s="528"/>
      <c r="G77" s="528"/>
      <c r="H77" s="528"/>
      <c r="I77" s="528"/>
      <c r="J77" s="528"/>
      <c r="K77" s="529"/>
      <c r="L77" s="530"/>
      <c r="M77" s="531"/>
      <c r="N77" s="1150"/>
      <c r="O77" s="1150"/>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4"/>
      <c r="Q79" s="502"/>
    </row>
    <row r="80" spans="1:17" ht="15">
      <c r="A80" s="532"/>
      <c r="B80" s="544"/>
      <c r="C80" s="601">
        <v>0.5</v>
      </c>
      <c r="D80" s="601">
        <v>0.6</v>
      </c>
      <c r="E80" s="601">
        <v>0.7</v>
      </c>
      <c r="F80" s="601">
        <v>0.8</v>
      </c>
      <c r="G80" s="601">
        <v>0.9</v>
      </c>
      <c r="H80" s="601">
        <v>1.0001</v>
      </c>
      <c r="I80" s="658"/>
      <c r="J80" s="658"/>
      <c r="K80" s="666"/>
      <c r="L80" s="667"/>
      <c r="M80" s="668"/>
      <c r="N80" s="1149"/>
      <c r="O80" s="1149"/>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2733</v>
      </c>
      <c r="C82" s="552"/>
      <c r="D82" s="552"/>
      <c r="E82" s="581"/>
      <c r="F82" s="581"/>
      <c r="G82" s="581"/>
      <c r="H82" s="581"/>
      <c r="I82" s="581"/>
      <c r="J82" s="581"/>
      <c r="K82" s="582"/>
      <c r="L82" s="583"/>
      <c r="M82" s="584"/>
      <c r="N82" s="1150"/>
      <c r="O82" s="1150"/>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4"/>
      <c r="Q83" s="502"/>
    </row>
    <row r="84" spans="1:17" ht="15" thickTop="1">
      <c r="A84" s="597"/>
      <c r="B84" s="536" t="s">
        <v>2741</v>
      </c>
      <c r="C84" s="552"/>
      <c r="D84" s="552"/>
      <c r="E84" s="552"/>
      <c r="F84" s="552"/>
      <c r="G84" s="552"/>
      <c r="H84" s="552"/>
      <c r="I84" s="581"/>
      <c r="J84" s="581"/>
      <c r="K84" s="582"/>
      <c r="L84" s="583"/>
      <c r="M84" s="584"/>
      <c r="N84" s="1150"/>
      <c r="O84" s="1150"/>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4"/>
      <c r="Q86" s="502"/>
    </row>
    <row r="87" spans="1:17">
      <c r="A87" s="597"/>
      <c r="B87" s="544"/>
      <c r="C87" s="593"/>
      <c r="D87" s="593"/>
      <c r="E87" s="593"/>
      <c r="F87" s="593"/>
      <c r="G87" s="593"/>
      <c r="H87" s="593"/>
      <c r="I87" s="593"/>
      <c r="J87" s="594"/>
      <c r="K87" s="594"/>
      <c r="L87" s="595"/>
      <c r="M87" s="596"/>
      <c r="N87" s="1150"/>
      <c r="O87" s="1150"/>
      <c r="P87" s="44"/>
      <c r="Q87" s="502"/>
    </row>
    <row r="88" spans="1:17" ht="15.75" thickBot="1">
      <c r="A88" s="532"/>
      <c r="B88" s="541"/>
      <c r="C88" s="558"/>
      <c r="D88" s="534"/>
      <c r="E88" s="534"/>
      <c r="F88" s="534"/>
      <c r="G88" s="534"/>
      <c r="H88" s="534"/>
      <c r="I88" s="534"/>
      <c r="J88" s="534"/>
      <c r="K88" s="534"/>
      <c r="L88" s="534"/>
      <c r="M88" s="534"/>
      <c r="N88" s="1151"/>
      <c r="O88" s="1151"/>
      <c r="P88" s="44"/>
      <c r="Q88" s="502"/>
    </row>
    <row r="89" spans="1:17" s="469" customFormat="1" ht="15" thickTop="1">
      <c r="A89" s="591"/>
      <c r="B89" s="536" t="s">
        <v>2743</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4"/>
      <c r="Q91" s="502"/>
    </row>
    <row r="92" spans="1:17" ht="15.75" thickBot="1">
      <c r="A92" s="532"/>
      <c r="B92" s="541"/>
      <c r="C92" s="558"/>
      <c r="D92" s="534"/>
      <c r="E92" s="534"/>
      <c r="F92" s="534"/>
      <c r="G92" s="558"/>
      <c r="H92" s="560"/>
      <c r="I92" s="560"/>
      <c r="J92" s="560"/>
      <c r="K92" s="560"/>
      <c r="L92" s="560"/>
      <c r="M92" s="561"/>
      <c r="N92" s="1151"/>
      <c r="O92" s="1151"/>
      <c r="P92" s="44"/>
      <c r="Q92" s="502"/>
    </row>
    <row r="93" spans="1:17" ht="15" thickTop="1">
      <c r="A93" s="597"/>
      <c r="B93" s="536">
        <f>B33</f>
        <v>111</v>
      </c>
      <c r="C93" s="547"/>
      <c r="D93" s="547"/>
      <c r="E93" s="547"/>
      <c r="F93" s="547"/>
      <c r="G93" s="552"/>
      <c r="H93" s="553"/>
      <c r="I93" s="553"/>
      <c r="J93" s="553"/>
      <c r="K93" s="553"/>
      <c r="L93" s="554"/>
      <c r="M93" s="555"/>
      <c r="N93" s="1150"/>
      <c r="O93" s="1150"/>
      <c r="P93" s="44"/>
      <c r="Q93" s="502"/>
    </row>
    <row r="94" spans="1:17" ht="15.75" thickBot="1">
      <c r="A94" s="532"/>
      <c r="B94" s="541"/>
      <c r="C94" s="558"/>
      <c r="D94" s="534"/>
      <c r="E94" s="534"/>
      <c r="F94" s="534"/>
      <c r="G94" s="558"/>
      <c r="H94" s="560"/>
      <c r="I94" s="560"/>
      <c r="J94" s="560"/>
      <c r="K94" s="560"/>
      <c r="L94" s="560"/>
      <c r="M94" s="561"/>
      <c r="N94" s="1151"/>
      <c r="O94" s="1151"/>
      <c r="P94" s="44"/>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4"/>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2332</v>
      </c>
      <c r="B3" s="607"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23" t="s">
        <v>2646</v>
      </c>
      <c r="D4" s="3224"/>
      <c r="E4" s="3251" t="s">
        <v>2647</v>
      </c>
      <c r="F4" s="3252"/>
      <c r="G4" s="3223" t="s">
        <v>2648</v>
      </c>
      <c r="H4" s="3224"/>
      <c r="I4" s="3223" t="s">
        <v>2649</v>
      </c>
      <c r="J4" s="3224"/>
      <c r="K4" s="608" t="s">
        <v>2650</v>
      </c>
      <c r="L4" s="1128"/>
      <c r="M4" s="1129"/>
      <c r="N4" s="1129"/>
      <c r="O4" s="1129"/>
      <c r="P4" s="3227" t="s">
        <v>2651</v>
      </c>
      <c r="Q4" s="3228"/>
      <c r="R4" s="3210" t="s">
        <v>2647</v>
      </c>
      <c r="S4" s="3211"/>
      <c r="T4" s="3210" t="s">
        <v>2648</v>
      </c>
      <c r="U4" s="3211"/>
      <c r="V4" s="3235" t="s">
        <v>2649</v>
      </c>
      <c r="W4" s="3235"/>
      <c r="X4" s="1811"/>
      <c r="Y4" s="3210" t="s">
        <v>2651</v>
      </c>
      <c r="Z4" s="3211"/>
      <c r="AA4" s="3205" t="s">
        <v>2647</v>
      </c>
      <c r="AB4" s="3206" t="s">
        <v>2648</v>
      </c>
      <c r="AC4" s="3205" t="s">
        <v>2649</v>
      </c>
    </row>
    <row r="5" spans="1:29" ht="15">
      <c r="A5" s="403"/>
      <c r="B5" s="404"/>
      <c r="C5" s="3216" t="s">
        <v>2542</v>
      </c>
      <c r="D5" s="3217"/>
      <c r="E5" s="3214" t="s">
        <v>2543</v>
      </c>
      <c r="F5" s="3215"/>
      <c r="G5" s="3216" t="s">
        <v>2544</v>
      </c>
      <c r="H5" s="3217"/>
      <c r="I5" s="3216" t="s">
        <v>2545</v>
      </c>
      <c r="J5" s="3217"/>
      <c r="K5" s="608"/>
      <c r="L5" s="1128"/>
      <c r="M5" s="1129"/>
      <c r="N5" s="1129"/>
      <c r="O5" s="1129"/>
      <c r="P5" s="3229"/>
      <c r="Q5" s="3230"/>
      <c r="R5" s="3212"/>
      <c r="S5" s="3213"/>
      <c r="T5" s="3212"/>
      <c r="U5" s="3213"/>
      <c r="V5" s="3235"/>
      <c r="W5" s="3235"/>
      <c r="X5" s="1811"/>
      <c r="Y5" s="3212"/>
      <c r="Z5" s="3213"/>
      <c r="AA5" s="3206"/>
      <c r="AB5" s="3206"/>
      <c r="AC5" s="3206"/>
    </row>
    <row r="6" spans="1:29" ht="15.75" thickBot="1">
      <c r="A6" s="405"/>
      <c r="B6" s="406"/>
      <c r="C6" s="3304" t="s">
        <v>2796</v>
      </c>
      <c r="D6" s="3305"/>
      <c r="E6" s="3306" t="s">
        <v>2796</v>
      </c>
      <c r="F6" s="3307"/>
      <c r="G6" s="3304" t="s">
        <v>2796</v>
      </c>
      <c r="H6" s="3305"/>
      <c r="I6" s="3304" t="s">
        <v>2796</v>
      </c>
      <c r="J6" s="3305"/>
      <c r="K6" s="608" t="s">
        <v>2547</v>
      </c>
      <c r="L6" s="1128"/>
      <c r="M6" s="1129"/>
      <c r="N6" s="1129"/>
      <c r="O6" s="1129"/>
      <c r="P6" s="3231"/>
      <c r="Q6" s="3232"/>
      <c r="R6" s="3212"/>
      <c r="S6" s="3213"/>
      <c r="T6" s="3233"/>
      <c r="U6" s="3234"/>
      <c r="V6" s="3235"/>
      <c r="W6" s="3235"/>
      <c r="X6" s="1811"/>
      <c r="Y6" s="3233"/>
      <c r="Z6" s="3234"/>
      <c r="AA6" s="3207"/>
      <c r="AB6" s="3207"/>
      <c r="AC6" s="3207"/>
    </row>
    <row r="7" spans="1:29" s="116" customFormat="1" ht="15.75" thickBot="1">
      <c r="A7" s="407" t="s">
        <v>2548</v>
      </c>
      <c r="B7" s="408"/>
      <c r="C7" s="409">
        <f>'数据-取费表'!B2</f>
        <v>43185</v>
      </c>
      <c r="D7" s="410">
        <v>100</v>
      </c>
      <c r="E7" s="411"/>
      <c r="F7" s="412">
        <f>SUMIF(65:65,YEAR(E7)&amp;"-"&amp;INT((MONTH(E7)+2)/3),66:66)</f>
        <v>0</v>
      </c>
      <c r="G7" s="2692"/>
      <c r="H7" s="410">
        <f>SUMIF(65:65,YEAR(G7)&amp;"-"&amp;INT((MONTH(G7)+2)/3),66:66)</f>
        <v>0</v>
      </c>
      <c r="I7" s="2692"/>
      <c r="J7" s="410">
        <f>SUMIF(65:65,YEAR(I7)&amp;"-"&amp;INT((MONTH(I7)+2)/3),66:66)</f>
        <v>0</v>
      </c>
      <c r="K7" s="609"/>
      <c r="L7" s="1130"/>
      <c r="M7" s="1131"/>
      <c r="N7" s="1131"/>
      <c r="O7" s="1131"/>
      <c r="P7" s="3208" t="s">
        <v>2549</v>
      </c>
      <c r="Q7" s="3236"/>
      <c r="R7" s="768" t="s">
        <v>17</v>
      </c>
      <c r="S7" s="769">
        <f t="shared" ref="S7:S15" si="0">F7</f>
        <v>0</v>
      </c>
      <c r="T7" s="768" t="s">
        <v>17</v>
      </c>
      <c r="U7" s="769">
        <f t="shared" ref="U7:U15" si="1">H7</f>
        <v>0</v>
      </c>
      <c r="V7" s="768" t="s">
        <v>17</v>
      </c>
      <c r="W7" s="769">
        <f t="shared" ref="W7:W15" si="2">J7</f>
        <v>0</v>
      </c>
      <c r="X7" s="770"/>
      <c r="Y7" s="3208" t="s">
        <v>2549</v>
      </c>
      <c r="Z7" s="3209"/>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09"/>
      <c r="L8" s="1130"/>
      <c r="M8" s="1131"/>
      <c r="N8" s="1131"/>
      <c r="O8" s="1131"/>
      <c r="P8" s="3208" t="s">
        <v>2552</v>
      </c>
      <c r="Q8" s="3209"/>
      <c r="R8" s="768" t="s">
        <v>17</v>
      </c>
      <c r="S8" s="769">
        <f t="shared" si="0"/>
        <v>0</v>
      </c>
      <c r="T8" s="768" t="s">
        <v>17</v>
      </c>
      <c r="U8" s="769">
        <f t="shared" si="1"/>
        <v>0</v>
      </c>
      <c r="V8" s="768" t="s">
        <v>17</v>
      </c>
      <c r="W8" s="769">
        <f t="shared" si="2"/>
        <v>0</v>
      </c>
      <c r="X8" s="770"/>
      <c r="Y8" s="3208" t="s">
        <v>2552</v>
      </c>
      <c r="Z8" s="3209"/>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09"/>
      <c r="L9" s="1130"/>
      <c r="M9" s="1131"/>
      <c r="N9" s="1131"/>
      <c r="O9" s="1132"/>
      <c r="P9" s="3222" t="s">
        <v>2555</v>
      </c>
      <c r="Q9" s="1793" t="str">
        <f t="shared" ref="Q9:Q15" si="6">B9</f>
        <v>用途</v>
      </c>
      <c r="R9" s="768" t="s">
        <v>17</v>
      </c>
      <c r="S9" s="769">
        <f t="shared" si="0"/>
        <v>100</v>
      </c>
      <c r="T9" s="768" t="s">
        <v>17</v>
      </c>
      <c r="U9" s="769">
        <f t="shared" si="1"/>
        <v>100</v>
      </c>
      <c r="V9" s="768" t="s">
        <v>17</v>
      </c>
      <c r="W9" s="769">
        <f t="shared" si="2"/>
        <v>100</v>
      </c>
      <c r="X9" s="770"/>
      <c r="Y9" s="3077" t="s">
        <v>2556</v>
      </c>
      <c r="Z9" s="54" t="str">
        <f t="shared" ref="Z9:Z15" si="7">Q9</f>
        <v>用途</v>
      </c>
      <c r="AA9" s="771">
        <f t="shared" si="3"/>
        <v>1</v>
      </c>
      <c r="AB9" s="771">
        <f t="shared" si="4"/>
        <v>1</v>
      </c>
      <c r="AC9" s="771">
        <f t="shared" si="5"/>
        <v>1</v>
      </c>
    </row>
    <row r="10" spans="1:29" s="425" customFormat="1" ht="27">
      <c r="A10" s="419"/>
      <c r="B10" s="420" t="s">
        <v>2557</v>
      </c>
      <c r="C10" s="430"/>
      <c r="D10" s="135">
        <v>100</v>
      </c>
      <c r="E10" s="430"/>
      <c r="F10" s="135">
        <f>ROUND(100/'数据-取费表'!G16,0)</f>
        <v>102</v>
      </c>
      <c r="G10" s="430"/>
      <c r="H10" s="135">
        <f>ROUND(100/'数据-取费表'!G16,0)</f>
        <v>102</v>
      </c>
      <c r="I10" s="430"/>
      <c r="J10" s="135">
        <f>ROUND(100/'数据-取费表'!G16,0)</f>
        <v>102</v>
      </c>
      <c r="K10" s="670"/>
      <c r="L10" s="1133"/>
      <c r="M10" s="1134"/>
      <c r="N10" s="1134"/>
      <c r="O10" s="1135"/>
      <c r="P10" s="3222"/>
      <c r="Q10" s="1793" t="str">
        <f t="shared" si="6"/>
        <v>土地使用年限（年）</v>
      </c>
      <c r="R10" s="768" t="s">
        <v>17</v>
      </c>
      <c r="S10" s="769">
        <f t="shared" si="0"/>
        <v>102</v>
      </c>
      <c r="T10" s="768" t="s">
        <v>17</v>
      </c>
      <c r="U10" s="769">
        <f t="shared" si="1"/>
        <v>102</v>
      </c>
      <c r="V10" s="768" t="s">
        <v>17</v>
      </c>
      <c r="W10" s="769">
        <f t="shared" si="2"/>
        <v>102</v>
      </c>
      <c r="X10" s="770"/>
      <c r="Y10" s="3077"/>
      <c r="Z10" s="54" t="str">
        <f t="shared" si="7"/>
        <v>土地使用年限（年）</v>
      </c>
      <c r="AA10" s="771">
        <f t="shared" si="3"/>
        <v>0.98039215686274506</v>
      </c>
      <c r="AB10" s="771">
        <f t="shared" si="4"/>
        <v>0.98039215686274506</v>
      </c>
      <c r="AC10" s="771">
        <f t="shared" si="5"/>
        <v>0.98039215686274506</v>
      </c>
    </row>
    <row r="11" spans="1:29" ht="15">
      <c r="A11" s="426"/>
      <c r="B11" s="420" t="s">
        <v>2558</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6"/>
      <c r="M11" s="1129"/>
      <c r="N11" s="1129"/>
      <c r="O11" s="1137"/>
      <c r="P11" s="3222"/>
      <c r="Q11" s="1793" t="str">
        <f t="shared" si="6"/>
        <v>容积率</v>
      </c>
      <c r="R11" s="768" t="s">
        <v>17</v>
      </c>
      <c r="S11" s="769" t="e">
        <f t="shared" si="0"/>
        <v>#N/A</v>
      </c>
      <c r="T11" s="768" t="s">
        <v>17</v>
      </c>
      <c r="U11" s="769" t="e">
        <f t="shared" si="1"/>
        <v>#N/A</v>
      </c>
      <c r="V11" s="768" t="s">
        <v>17</v>
      </c>
      <c r="W11" s="769" t="e">
        <f t="shared" si="2"/>
        <v>#N/A</v>
      </c>
      <c r="X11" s="770"/>
      <c r="Y11" s="3077"/>
      <c r="Z11" s="54" t="str">
        <f t="shared" si="7"/>
        <v>容积率</v>
      </c>
      <c r="AA11" s="771" t="e">
        <f t="shared" si="3"/>
        <v>#N/A</v>
      </c>
      <c r="AB11" s="771" t="e">
        <f t="shared" si="4"/>
        <v>#N/A</v>
      </c>
      <c r="AC11" s="771" t="e">
        <f t="shared" si="5"/>
        <v>#N/A</v>
      </c>
    </row>
    <row r="12" spans="1:29" s="116" customFormat="1" ht="15">
      <c r="A12" s="429"/>
      <c r="B12" s="2597">
        <v>111</v>
      </c>
      <c r="C12" s="430"/>
      <c r="D12" s="431">
        <v>100</v>
      </c>
      <c r="E12" s="547"/>
      <c r="F12" s="135">
        <f>SUMIF(77:77,E12,78:78)-SUMIF(77:77,C12,78:78)+100</f>
        <v>100</v>
      </c>
      <c r="G12" s="672"/>
      <c r="H12" s="135">
        <f>SUMIF(77:77,G12,78:78)-SUMIF(77:77,C12,78:78)+100</f>
        <v>100</v>
      </c>
      <c r="I12" s="547"/>
      <c r="J12" s="135">
        <f>SUMIF(77:77,I12,78:78)-SUMIF(77:77,C12,78:78)+100</f>
        <v>100</v>
      </c>
      <c r="K12" s="670"/>
      <c r="L12" s="1130"/>
      <c r="M12" s="1131"/>
      <c r="N12" s="1131"/>
      <c r="O12" s="1132"/>
      <c r="P12" s="3222"/>
      <c r="Q12" s="1793">
        <f t="shared" si="6"/>
        <v>111</v>
      </c>
      <c r="R12" s="768" t="s">
        <v>17</v>
      </c>
      <c r="S12" s="769">
        <f t="shared" si="0"/>
        <v>100</v>
      </c>
      <c r="T12" s="768" t="s">
        <v>17</v>
      </c>
      <c r="U12" s="769">
        <f t="shared" si="1"/>
        <v>100</v>
      </c>
      <c r="V12" s="768" t="s">
        <v>17</v>
      </c>
      <c r="W12" s="769">
        <f t="shared" si="2"/>
        <v>100</v>
      </c>
      <c r="X12" s="770"/>
      <c r="Y12" s="3077"/>
      <c r="Z12" s="54">
        <f t="shared" si="7"/>
        <v>111</v>
      </c>
      <c r="AA12" s="771">
        <f>D12/F12</f>
        <v>1</v>
      </c>
      <c r="AB12" s="771">
        <f>D12/H12</f>
        <v>1</v>
      </c>
      <c r="AC12" s="771">
        <f>D12/J12</f>
        <v>1</v>
      </c>
    </row>
    <row r="13" spans="1:29" ht="15">
      <c r="A13" s="426"/>
      <c r="B13" s="2597">
        <v>111</v>
      </c>
      <c r="C13" s="432"/>
      <c r="D13" s="433">
        <v>100</v>
      </c>
      <c r="E13" s="547"/>
      <c r="F13" s="135">
        <f>SUMIF(79:79,E13,80:80)-SUMIF(79:79,C13,80:80)+100</f>
        <v>100</v>
      </c>
      <c r="G13" s="672"/>
      <c r="H13" s="433">
        <f>SUMIF(79:79,G13,80:80)-SUMIF(79:79,C13,80:80)+100</f>
        <v>100</v>
      </c>
      <c r="I13" s="547"/>
      <c r="J13" s="433">
        <f>SUMIF(79:79,I13,80:80)-SUMIF(79:79,C13,80:80)+100</f>
        <v>100</v>
      </c>
      <c r="K13" s="670"/>
      <c r="L13" s="1138"/>
      <c r="M13" s="1129"/>
      <c r="N13" s="1129"/>
      <c r="O13" s="1137"/>
      <c r="P13" s="3222"/>
      <c r="Q13" s="1793">
        <f t="shared" si="6"/>
        <v>111</v>
      </c>
      <c r="R13" s="768" t="s">
        <v>17</v>
      </c>
      <c r="S13" s="769">
        <f t="shared" si="0"/>
        <v>100</v>
      </c>
      <c r="T13" s="768" t="s">
        <v>17</v>
      </c>
      <c r="U13" s="769">
        <f t="shared" si="1"/>
        <v>100</v>
      </c>
      <c r="V13" s="768" t="s">
        <v>17</v>
      </c>
      <c r="W13" s="769">
        <f t="shared" si="2"/>
        <v>100</v>
      </c>
      <c r="X13" s="770"/>
      <c r="Y13" s="3077"/>
      <c r="Z13" s="54">
        <f t="shared" si="7"/>
        <v>111</v>
      </c>
      <c r="AA13" s="771">
        <f t="shared" si="3"/>
        <v>1</v>
      </c>
      <c r="AB13" s="771">
        <f t="shared" si="4"/>
        <v>1</v>
      </c>
      <c r="AC13" s="771">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22"/>
      <c r="Q14" s="1793">
        <f t="shared" si="6"/>
        <v>111</v>
      </c>
      <c r="R14" s="768" t="s">
        <v>17</v>
      </c>
      <c r="S14" s="769">
        <f t="shared" si="0"/>
        <v>100</v>
      </c>
      <c r="T14" s="768" t="s">
        <v>17</v>
      </c>
      <c r="U14" s="769">
        <f t="shared" si="1"/>
        <v>100</v>
      </c>
      <c r="V14" s="768" t="s">
        <v>17</v>
      </c>
      <c r="W14" s="769">
        <f t="shared" si="2"/>
        <v>100</v>
      </c>
      <c r="X14" s="770"/>
      <c r="Y14" s="3077"/>
      <c r="Z14" s="54">
        <f t="shared" si="7"/>
        <v>111</v>
      </c>
      <c r="AA14" s="771">
        <f t="shared" si="3"/>
        <v>1</v>
      </c>
      <c r="AB14" s="771">
        <f t="shared" si="4"/>
        <v>1</v>
      </c>
      <c r="AC14" s="771">
        <f t="shared" si="5"/>
        <v>1</v>
      </c>
    </row>
    <row r="15" spans="1:29" ht="57">
      <c r="A15" s="438" t="s">
        <v>2559</v>
      </c>
      <c r="B15" s="627" t="s">
        <v>2797</v>
      </c>
      <c r="C15" s="2689"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37" t="s">
        <v>2560</v>
      </c>
      <c r="Q15" s="1808" t="str">
        <f t="shared" si="6"/>
        <v>产业集聚程度</v>
      </c>
      <c r="R15" s="772" t="s">
        <v>17</v>
      </c>
      <c r="S15" s="773">
        <f t="shared" si="0"/>
        <v>100</v>
      </c>
      <c r="T15" s="772" t="s">
        <v>17</v>
      </c>
      <c r="U15" s="773">
        <f t="shared" si="1"/>
        <v>100</v>
      </c>
      <c r="V15" s="772" t="s">
        <v>17</v>
      </c>
      <c r="W15" s="773">
        <f t="shared" si="2"/>
        <v>100</v>
      </c>
      <c r="X15" s="1811"/>
      <c r="Y15" s="3237" t="s">
        <v>2560</v>
      </c>
      <c r="Z15" s="1812" t="str">
        <f t="shared" si="7"/>
        <v>产业集聚程度</v>
      </c>
      <c r="AA15" s="1809">
        <f t="shared" si="3"/>
        <v>1</v>
      </c>
      <c r="AB15" s="1809">
        <f t="shared" si="4"/>
        <v>1</v>
      </c>
      <c r="AC15" s="1809">
        <f t="shared" si="5"/>
        <v>1</v>
      </c>
    </row>
    <row r="16" spans="1:29" ht="15">
      <c r="A16" s="426"/>
      <c r="B16" s="628"/>
      <c r="C16" s="445"/>
      <c r="D16" s="446"/>
      <c r="E16" s="2608"/>
      <c r="F16" s="446"/>
      <c r="G16" s="2608"/>
      <c r="H16" s="448"/>
      <c r="I16" s="2608"/>
      <c r="J16" s="446"/>
      <c r="K16" s="670"/>
      <c r="L16" s="1138"/>
      <c r="M16" s="1129"/>
      <c r="N16" s="1129"/>
      <c r="O16" s="1137"/>
      <c r="P16" s="3238"/>
      <c r="Q16" s="1808"/>
      <c r="R16" s="772"/>
      <c r="S16" s="773"/>
      <c r="T16" s="772"/>
      <c r="U16" s="773"/>
      <c r="V16" s="772"/>
      <c r="W16" s="773"/>
      <c r="X16" s="1811"/>
      <c r="Y16" s="3238"/>
      <c r="Z16" s="1812"/>
      <c r="AA16" s="1809">
        <v>1</v>
      </c>
      <c r="AB16" s="1809">
        <v>1</v>
      </c>
      <c r="AC16" s="1809">
        <v>1</v>
      </c>
    </row>
    <row r="17" spans="1:29" ht="85.5">
      <c r="A17" s="426"/>
      <c r="B17" s="629" t="s">
        <v>2709</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38"/>
      <c r="Q17" s="1808" t="str">
        <f>B17</f>
        <v>交通便捷度</v>
      </c>
      <c r="R17" s="772" t="s">
        <v>17</v>
      </c>
      <c r="S17" s="773">
        <f>F17</f>
        <v>100</v>
      </c>
      <c r="T17" s="772" t="s">
        <v>17</v>
      </c>
      <c r="U17" s="773">
        <f>H17</f>
        <v>100</v>
      </c>
      <c r="V17" s="772" t="s">
        <v>17</v>
      </c>
      <c r="W17" s="773">
        <f>J17</f>
        <v>100</v>
      </c>
      <c r="X17" s="1811"/>
      <c r="Y17" s="3238"/>
      <c r="Z17" s="1812" t="str">
        <f>Q17</f>
        <v>交通便捷度</v>
      </c>
      <c r="AA17" s="1809">
        <f t="shared" si="3"/>
        <v>1</v>
      </c>
      <c r="AB17" s="1809">
        <f t="shared" si="4"/>
        <v>1</v>
      </c>
      <c r="AC17" s="1809">
        <f t="shared" si="5"/>
        <v>1</v>
      </c>
    </row>
    <row r="18" spans="1:29" ht="15">
      <c r="A18" s="426"/>
      <c r="B18" s="630"/>
      <c r="C18" s="445"/>
      <c r="D18" s="446"/>
      <c r="E18" s="2602"/>
      <c r="F18" s="446"/>
      <c r="G18" s="2602"/>
      <c r="H18" s="446"/>
      <c r="I18" s="2601"/>
      <c r="J18" s="446"/>
      <c r="K18" s="670"/>
      <c r="L18" s="1138"/>
      <c r="M18" s="1129"/>
      <c r="N18" s="1129"/>
      <c r="O18" s="1137"/>
      <c r="P18" s="3238"/>
      <c r="Q18" s="1808"/>
      <c r="R18" s="772"/>
      <c r="S18" s="773"/>
      <c r="T18" s="772"/>
      <c r="U18" s="773"/>
      <c r="V18" s="772"/>
      <c r="W18" s="773"/>
      <c r="X18" s="1811"/>
      <c r="Y18" s="3238"/>
      <c r="Z18" s="1812"/>
      <c r="AA18" s="1809">
        <v>1</v>
      </c>
      <c r="AB18" s="1809">
        <v>1</v>
      </c>
      <c r="AC18" s="1809">
        <v>1</v>
      </c>
    </row>
    <row r="19" spans="1:29" ht="15">
      <c r="A19" s="426"/>
      <c r="B19" s="629" t="s">
        <v>2747</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38"/>
      <c r="Q19" s="1808" t="str">
        <f t="shared" ref="Q19:Q33" si="8">B19</f>
        <v>区域土地利用方向</v>
      </c>
      <c r="R19" s="772" t="s">
        <v>17</v>
      </c>
      <c r="S19" s="773">
        <f>F19</f>
        <v>100</v>
      </c>
      <c r="T19" s="772" t="s">
        <v>17</v>
      </c>
      <c r="U19" s="773">
        <f>H19</f>
        <v>100</v>
      </c>
      <c r="V19" s="772" t="s">
        <v>17</v>
      </c>
      <c r="W19" s="773">
        <f>J19</f>
        <v>100</v>
      </c>
      <c r="X19" s="1811"/>
      <c r="Y19" s="3238"/>
      <c r="Z19" s="1812" t="str">
        <f>Q19</f>
        <v>区域土地利用方向</v>
      </c>
      <c r="AA19" s="1809">
        <f t="shared" si="3"/>
        <v>1</v>
      </c>
      <c r="AB19" s="1809">
        <f t="shared" si="4"/>
        <v>1</v>
      </c>
      <c r="AC19" s="1809">
        <f t="shared" si="5"/>
        <v>1</v>
      </c>
    </row>
    <row r="20" spans="1:29" ht="15">
      <c r="A20" s="403"/>
      <c r="B20" s="630"/>
      <c r="C20" s="445"/>
      <c r="D20" s="446"/>
      <c r="E20" s="2602"/>
      <c r="F20" s="446"/>
      <c r="G20" s="2602"/>
      <c r="H20" s="446"/>
      <c r="I20" s="2602"/>
      <c r="J20" s="446"/>
      <c r="K20" s="807"/>
      <c r="L20" s="1138"/>
      <c r="M20" s="1129"/>
      <c r="N20" s="1129"/>
      <c r="O20" s="1137"/>
      <c r="P20" s="3238"/>
      <c r="Q20" s="1808"/>
      <c r="R20" s="772"/>
      <c r="S20" s="773"/>
      <c r="T20" s="772"/>
      <c r="U20" s="773"/>
      <c r="V20" s="772"/>
      <c r="W20" s="773"/>
      <c r="X20" s="1811"/>
      <c r="Y20" s="3238"/>
      <c r="Z20" s="1812"/>
      <c r="AA20" s="1809"/>
      <c r="AB20" s="1809"/>
      <c r="AC20" s="1809"/>
    </row>
    <row r="21" spans="1:29" ht="71.25">
      <c r="A21" s="403"/>
      <c r="B21" s="629" t="s">
        <v>2798</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38"/>
      <c r="Q21" s="1808" t="str">
        <f t="shared" si="8"/>
        <v>环境状况</v>
      </c>
      <c r="R21" s="772" t="s">
        <v>17</v>
      </c>
      <c r="S21" s="773">
        <f>F21</f>
        <v>100</v>
      </c>
      <c r="T21" s="772" t="s">
        <v>17</v>
      </c>
      <c r="U21" s="773">
        <f>H21</f>
        <v>100</v>
      </c>
      <c r="V21" s="772" t="s">
        <v>17</v>
      </c>
      <c r="W21" s="773">
        <f>J21</f>
        <v>100</v>
      </c>
      <c r="X21" s="1811"/>
      <c r="Y21" s="3238"/>
      <c r="Z21" s="1812" t="str">
        <f>Q21</f>
        <v>环境状况</v>
      </c>
      <c r="AA21" s="1809">
        <f t="shared" si="3"/>
        <v>1</v>
      </c>
      <c r="AB21" s="1809">
        <f t="shared" si="4"/>
        <v>1</v>
      </c>
      <c r="AC21" s="1809">
        <f t="shared" si="5"/>
        <v>1</v>
      </c>
    </row>
    <row r="22" spans="1:29" ht="15">
      <c r="A22" s="403"/>
      <c r="B22" s="630"/>
      <c r="C22" s="445"/>
      <c r="D22" s="446"/>
      <c r="E22" s="2608"/>
      <c r="F22" s="446"/>
      <c r="G22" s="2608"/>
      <c r="H22" s="446"/>
      <c r="I22" s="445"/>
      <c r="J22" s="446"/>
      <c r="K22" s="670"/>
      <c r="L22" s="1138"/>
      <c r="M22" s="1129"/>
      <c r="N22" s="1129"/>
      <c r="O22" s="1137"/>
      <c r="P22" s="3238"/>
      <c r="Q22" s="1808"/>
      <c r="R22" s="772"/>
      <c r="S22" s="773"/>
      <c r="T22" s="772"/>
      <c r="U22" s="773"/>
      <c r="V22" s="772"/>
      <c r="W22" s="773"/>
      <c r="X22" s="1811"/>
      <c r="Y22" s="3238"/>
      <c r="Z22" s="1812"/>
      <c r="AA22" s="1809">
        <v>1</v>
      </c>
      <c r="AB22" s="1809">
        <v>1</v>
      </c>
      <c r="AC22" s="1809">
        <v>1</v>
      </c>
    </row>
    <row r="23" spans="1:29" s="116" customFormat="1" ht="42.75">
      <c r="A23" s="647"/>
      <c r="B23" s="631" t="s">
        <v>2654</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38"/>
      <c r="Q23" s="1793" t="str">
        <f t="shared" si="8"/>
        <v>公共配套设施</v>
      </c>
      <c r="R23" s="768" t="s">
        <v>17</v>
      </c>
      <c r="S23" s="769">
        <f>F23</f>
        <v>100</v>
      </c>
      <c r="T23" s="768" t="s">
        <v>17</v>
      </c>
      <c r="U23" s="769">
        <f>H23</f>
        <v>100</v>
      </c>
      <c r="V23" s="768" t="s">
        <v>17</v>
      </c>
      <c r="W23" s="769">
        <f>J23</f>
        <v>100</v>
      </c>
      <c r="X23" s="770"/>
      <c r="Y23" s="3238"/>
      <c r="Z23" s="54" t="str">
        <f>Q23</f>
        <v>公共配套设施</v>
      </c>
      <c r="AA23" s="1809">
        <f>D23/F23</f>
        <v>1</v>
      </c>
      <c r="AB23" s="1809">
        <f>D23/H23</f>
        <v>1</v>
      </c>
      <c r="AC23" s="1809">
        <f>D23/J23</f>
        <v>1</v>
      </c>
    </row>
    <row r="24" spans="1:29" s="116" customFormat="1" ht="15">
      <c r="A24" s="647"/>
      <c r="B24" s="630"/>
      <c r="C24" s="2696"/>
      <c r="D24" s="446"/>
      <c r="E24" s="2608"/>
      <c r="F24" s="446"/>
      <c r="G24" s="2608"/>
      <c r="H24" s="446"/>
      <c r="I24" s="445"/>
      <c r="J24" s="446"/>
      <c r="K24" s="670"/>
      <c r="L24" s="1130"/>
      <c r="M24" s="1131"/>
      <c r="N24" s="1131"/>
      <c r="O24" s="1132"/>
      <c r="P24" s="3238"/>
      <c r="Q24" s="1793"/>
      <c r="R24" s="768"/>
      <c r="S24" s="769"/>
      <c r="T24" s="768"/>
      <c r="U24" s="769"/>
      <c r="V24" s="768"/>
      <c r="W24" s="769"/>
      <c r="X24" s="770"/>
      <c r="Y24" s="3238"/>
      <c r="Z24" s="54"/>
      <c r="AA24" s="771">
        <v>1</v>
      </c>
      <c r="AB24" s="771">
        <v>1</v>
      </c>
      <c r="AC24" s="771">
        <v>1</v>
      </c>
    </row>
    <row r="25" spans="1:29" s="116" customFormat="1" ht="28.5">
      <c r="A25" s="647"/>
      <c r="B25" s="631" t="s">
        <v>2655</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38"/>
      <c r="Q25" s="1793" t="str">
        <f t="shared" ref="Q25" si="9">B25</f>
        <v>基础设施水平</v>
      </c>
      <c r="R25" s="768" t="s">
        <v>17</v>
      </c>
      <c r="S25" s="769">
        <f>F25</f>
        <v>100</v>
      </c>
      <c r="T25" s="768" t="s">
        <v>17</v>
      </c>
      <c r="U25" s="769">
        <f>H25</f>
        <v>100</v>
      </c>
      <c r="V25" s="768" t="s">
        <v>17</v>
      </c>
      <c r="W25" s="769">
        <f>J25</f>
        <v>100</v>
      </c>
      <c r="X25" s="770"/>
      <c r="Y25" s="3238"/>
      <c r="Z25" s="54" t="str">
        <f>Q25</f>
        <v>基础设施水平</v>
      </c>
      <c r="AA25" s="1809">
        <f>D25/F25</f>
        <v>1</v>
      </c>
      <c r="AB25" s="1809">
        <f>D25/H25</f>
        <v>1</v>
      </c>
      <c r="AC25" s="1809">
        <f>D25/J25</f>
        <v>1</v>
      </c>
    </row>
    <row r="26" spans="1:29" s="116" customFormat="1" ht="15">
      <c r="A26" s="647"/>
      <c r="B26" s="630"/>
      <c r="C26" s="2696"/>
      <c r="D26" s="446"/>
      <c r="E26" s="2697"/>
      <c r="F26" s="446"/>
      <c r="G26" s="2697"/>
      <c r="H26" s="446"/>
      <c r="I26" s="2697"/>
      <c r="J26" s="446"/>
      <c r="K26" s="670"/>
      <c r="L26" s="1130"/>
      <c r="M26" s="1131"/>
      <c r="N26" s="1131"/>
      <c r="O26" s="1132"/>
      <c r="P26" s="3238"/>
      <c r="Q26" s="1793"/>
      <c r="R26" s="768"/>
      <c r="S26" s="769"/>
      <c r="T26" s="768"/>
      <c r="U26" s="769"/>
      <c r="V26" s="768"/>
      <c r="W26" s="769"/>
      <c r="X26" s="770"/>
      <c r="Y26" s="3238"/>
      <c r="Z26" s="54"/>
      <c r="AA26" s="771">
        <v>1</v>
      </c>
      <c r="AB26" s="771">
        <v>1</v>
      </c>
      <c r="AC26" s="771">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3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8"/>
      <c r="Z27" s="1812" t="str">
        <f t="shared" ref="Z27:Z40" si="13">Q27</f>
        <v>临街状况</v>
      </c>
      <c r="AA27" s="1809">
        <f t="shared" si="3"/>
        <v>1</v>
      </c>
      <c r="AB27" s="1809">
        <f t="shared" si="4"/>
        <v>1</v>
      </c>
      <c r="AC27" s="1809">
        <f t="shared" si="5"/>
        <v>1</v>
      </c>
    </row>
    <row r="28" spans="1:29" ht="27">
      <c r="A28" s="426"/>
      <c r="B28" s="631" t="s">
        <v>2691</v>
      </c>
      <c r="C28" s="270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38"/>
      <c r="Q28" s="1808" t="str">
        <f t="shared" si="8"/>
        <v>毗邻道路的类型与等级</v>
      </c>
      <c r="R28" s="772" t="s">
        <v>17</v>
      </c>
      <c r="S28" s="773">
        <f t="shared" si="10"/>
        <v>100</v>
      </c>
      <c r="T28" s="772" t="s">
        <v>17</v>
      </c>
      <c r="U28" s="773">
        <f t="shared" si="11"/>
        <v>100</v>
      </c>
      <c r="V28" s="772" t="s">
        <v>17</v>
      </c>
      <c r="W28" s="773">
        <f t="shared" si="12"/>
        <v>100</v>
      </c>
      <c r="X28" s="1811"/>
      <c r="Y28" s="3238"/>
      <c r="Z28" s="1812" t="str">
        <f t="shared" si="13"/>
        <v>毗邻道路的类型与等级</v>
      </c>
      <c r="AA28" s="1809">
        <f t="shared" si="3"/>
        <v>1</v>
      </c>
      <c r="AB28" s="1809">
        <f t="shared" si="4"/>
        <v>1</v>
      </c>
      <c r="AC28" s="1809">
        <f t="shared" si="5"/>
        <v>1</v>
      </c>
    </row>
    <row r="29" spans="1:29" ht="15">
      <c r="A29" s="426"/>
      <c r="B29" s="630"/>
      <c r="C29" s="445"/>
      <c r="D29" s="446"/>
      <c r="E29" s="2608"/>
      <c r="F29" s="446"/>
      <c r="G29" s="2608"/>
      <c r="H29" s="446"/>
      <c r="I29" s="2608"/>
      <c r="J29" s="446"/>
      <c r="K29" s="611"/>
      <c r="L29" s="1138"/>
      <c r="M29" s="1129"/>
      <c r="N29" s="1129"/>
      <c r="O29" s="1137"/>
      <c r="P29" s="3238"/>
      <c r="Q29" s="1808"/>
      <c r="R29" s="772"/>
      <c r="S29" s="773"/>
      <c r="T29" s="772"/>
      <c r="U29" s="773"/>
      <c r="V29" s="772"/>
      <c r="W29" s="773"/>
      <c r="X29" s="1811"/>
      <c r="Y29" s="3238"/>
      <c r="Z29" s="1812"/>
      <c r="AA29" s="1809">
        <v>1</v>
      </c>
      <c r="AB29" s="1809">
        <v>1</v>
      </c>
      <c r="AC29" s="1809">
        <v>1</v>
      </c>
    </row>
    <row r="30" spans="1:29" ht="15">
      <c r="A30" s="426"/>
      <c r="B30" s="652" t="s">
        <v>2749</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38"/>
      <c r="Q30" s="1808" t="str">
        <f t="shared" si="8"/>
        <v>土地级别</v>
      </c>
      <c r="R30" s="772" t="s">
        <v>17</v>
      </c>
      <c r="S30" s="773">
        <f t="shared" si="10"/>
        <v>100</v>
      </c>
      <c r="T30" s="772" t="s">
        <v>17</v>
      </c>
      <c r="U30" s="773">
        <f t="shared" si="11"/>
        <v>100</v>
      </c>
      <c r="V30" s="772" t="s">
        <v>17</v>
      </c>
      <c r="W30" s="773">
        <f t="shared" si="12"/>
        <v>100</v>
      </c>
      <c r="X30" s="1811"/>
      <c r="Y30" s="3238"/>
      <c r="Z30" s="1812" t="str">
        <f t="shared" si="13"/>
        <v>土地级别</v>
      </c>
      <c r="AA30" s="1809">
        <f t="shared" si="3"/>
        <v>1</v>
      </c>
      <c r="AB30" s="1809">
        <f t="shared" si="4"/>
        <v>1</v>
      </c>
      <c r="AC30" s="1809">
        <f t="shared" si="5"/>
        <v>1</v>
      </c>
    </row>
    <row r="31" spans="1:29" ht="15">
      <c r="A31" s="403"/>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38"/>
      <c r="Q31" s="1808">
        <f t="shared" si="8"/>
        <v>111</v>
      </c>
      <c r="R31" s="772" t="s">
        <v>17</v>
      </c>
      <c r="S31" s="773">
        <f t="shared" si="10"/>
        <v>100</v>
      </c>
      <c r="T31" s="772" t="s">
        <v>17</v>
      </c>
      <c r="U31" s="773">
        <f t="shared" si="11"/>
        <v>100</v>
      </c>
      <c r="V31" s="772" t="s">
        <v>17</v>
      </c>
      <c r="W31" s="773">
        <f t="shared" si="12"/>
        <v>100</v>
      </c>
      <c r="X31" s="1811"/>
      <c r="Y31" s="3238"/>
      <c r="Z31" s="1812">
        <f t="shared" si="13"/>
        <v>111</v>
      </c>
      <c r="AA31" s="1809">
        <f t="shared" si="3"/>
        <v>1</v>
      </c>
      <c r="AB31" s="1809">
        <f t="shared" si="4"/>
        <v>1</v>
      </c>
      <c r="AC31" s="1809">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39" t="s">
        <v>2565</v>
      </c>
      <c r="Q32" s="1808">
        <f t="shared" si="8"/>
        <v>111</v>
      </c>
      <c r="R32" s="772" t="s">
        <v>17</v>
      </c>
      <c r="S32" s="773">
        <f t="shared" si="10"/>
        <v>100</v>
      </c>
      <c r="T32" s="772" t="s">
        <v>17</v>
      </c>
      <c r="U32" s="773">
        <f t="shared" si="11"/>
        <v>100</v>
      </c>
      <c r="V32" s="772" t="s">
        <v>17</v>
      </c>
      <c r="W32" s="773">
        <f t="shared" si="12"/>
        <v>100</v>
      </c>
      <c r="X32" s="1811"/>
      <c r="Y32" s="3240" t="s">
        <v>2565</v>
      </c>
      <c r="Z32" s="1812">
        <f t="shared" si="13"/>
        <v>111</v>
      </c>
      <c r="AA32" s="1809">
        <f t="shared" si="3"/>
        <v>1</v>
      </c>
      <c r="AB32" s="1809">
        <f t="shared" si="4"/>
        <v>1</v>
      </c>
      <c r="AC32" s="1809">
        <f t="shared" si="5"/>
        <v>1</v>
      </c>
    </row>
    <row r="33" spans="1:29" s="469" customFormat="1" ht="15.75" thickBot="1">
      <c r="A33" s="674"/>
      <c r="B33" s="2711">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40"/>
      <c r="Q33" s="1808">
        <f t="shared" si="8"/>
        <v>111</v>
      </c>
      <c r="R33" s="775" t="s">
        <v>17</v>
      </c>
      <c r="S33" s="776">
        <f t="shared" si="10"/>
        <v>100</v>
      </c>
      <c r="T33" s="775" t="s">
        <v>17</v>
      </c>
      <c r="U33" s="776">
        <f t="shared" si="11"/>
        <v>100</v>
      </c>
      <c r="V33" s="775" t="s">
        <v>17</v>
      </c>
      <c r="W33" s="776">
        <f t="shared" si="12"/>
        <v>100</v>
      </c>
      <c r="X33" s="777"/>
      <c r="Y33" s="3240"/>
      <c r="Z33" s="778">
        <f t="shared" si="13"/>
        <v>111</v>
      </c>
      <c r="AA33" s="1809">
        <f t="shared" si="3"/>
        <v>1</v>
      </c>
      <c r="AB33" s="1809">
        <f t="shared" si="4"/>
        <v>1</v>
      </c>
      <c r="AC33" s="1809">
        <f t="shared" si="5"/>
        <v>1</v>
      </c>
    </row>
    <row r="34" spans="1:29" ht="15">
      <c r="A34" s="438" t="s">
        <v>2563</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40"/>
      <c r="Q34" s="1808" t="str">
        <f>B34</f>
        <v>宗地面积</v>
      </c>
      <c r="R34" s="772" t="s">
        <v>17</v>
      </c>
      <c r="S34" s="773" t="e">
        <f t="shared" si="10"/>
        <v>#N/A</v>
      </c>
      <c r="T34" s="772" t="s">
        <v>17</v>
      </c>
      <c r="U34" s="773" t="e">
        <f t="shared" si="11"/>
        <v>#N/A</v>
      </c>
      <c r="V34" s="772" t="s">
        <v>17</v>
      </c>
      <c r="W34" s="773" t="e">
        <f t="shared" si="12"/>
        <v>#N/A</v>
      </c>
      <c r="X34" s="1811"/>
      <c r="Y34" s="3240"/>
      <c r="Z34" s="1812" t="str">
        <f t="shared" si="13"/>
        <v>宗地面积</v>
      </c>
      <c r="AA34" s="1809" t="e">
        <f t="shared" si="3"/>
        <v>#N/A</v>
      </c>
      <c r="AB34" s="1809" t="e">
        <f t="shared" si="4"/>
        <v>#N/A</v>
      </c>
      <c r="AC34" s="1809" t="e">
        <f t="shared" si="5"/>
        <v>#N/A</v>
      </c>
    </row>
    <row r="35" spans="1:29" ht="15">
      <c r="A35" s="470"/>
      <c r="B35" s="420" t="s">
        <v>2751</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8"/>
      <c r="M35" s="1129"/>
      <c r="N35" s="1129"/>
      <c r="O35" s="1137"/>
      <c r="P35" s="3240"/>
      <c r="Q35" s="1808" t="str">
        <f t="shared" ref="Q35:Q40" si="14">B35</f>
        <v>宗地形状</v>
      </c>
      <c r="R35" s="772" t="s">
        <v>17</v>
      </c>
      <c r="S35" s="773">
        <f t="shared" si="10"/>
        <v>100</v>
      </c>
      <c r="T35" s="772" t="s">
        <v>17</v>
      </c>
      <c r="U35" s="773">
        <f t="shared" si="11"/>
        <v>100</v>
      </c>
      <c r="V35" s="772" t="s">
        <v>17</v>
      </c>
      <c r="W35" s="773">
        <f t="shared" si="12"/>
        <v>100</v>
      </c>
      <c r="X35" s="1811"/>
      <c r="Y35" s="3240"/>
      <c r="Z35" s="1812" t="str">
        <f t="shared" si="13"/>
        <v>宗地形状</v>
      </c>
      <c r="AA35" s="1809">
        <f t="shared" si="3"/>
        <v>1</v>
      </c>
      <c r="AB35" s="1809">
        <f t="shared" si="4"/>
        <v>1</v>
      </c>
      <c r="AC35" s="1809">
        <f t="shared" si="5"/>
        <v>1</v>
      </c>
    </row>
    <row r="36" spans="1:29" s="116" customFormat="1" ht="15">
      <c r="A36" s="471"/>
      <c r="B36" s="420" t="s">
        <v>2753</v>
      </c>
      <c r="C36" s="2698"/>
      <c r="D36" s="135">
        <v>100</v>
      </c>
      <c r="E36" s="2698"/>
      <c r="F36" s="433">
        <f>SUMIF(112:112,E36,113:113)-SUMIF(112:112,C36,113:113)+100</f>
        <v>100</v>
      </c>
      <c r="G36" s="2698"/>
      <c r="H36" s="433">
        <f>SUMIF(112:112,G36,113:113)-SUMIF(112:112,C36,113:113)+100</f>
        <v>100</v>
      </c>
      <c r="I36" s="2698"/>
      <c r="J36" s="433">
        <f>SUMIF(112:112,I36,113:113)-SUMIF(112:112,C36,113:113)+100</f>
        <v>100</v>
      </c>
      <c r="K36" s="610"/>
      <c r="L36" s="1130"/>
      <c r="M36" s="1131"/>
      <c r="N36" s="1131"/>
      <c r="O36" s="1132"/>
      <c r="P36" s="3240"/>
      <c r="Q36" s="1808" t="str">
        <f t="shared" si="14"/>
        <v>宗地开发程度</v>
      </c>
      <c r="R36" s="768" t="s">
        <v>17</v>
      </c>
      <c r="S36" s="769">
        <f t="shared" si="10"/>
        <v>100</v>
      </c>
      <c r="T36" s="768" t="s">
        <v>17</v>
      </c>
      <c r="U36" s="769">
        <f t="shared" si="11"/>
        <v>100</v>
      </c>
      <c r="V36" s="768" t="s">
        <v>17</v>
      </c>
      <c r="W36" s="769">
        <f t="shared" si="12"/>
        <v>100</v>
      </c>
      <c r="X36" s="770"/>
      <c r="Y36" s="3240"/>
      <c r="Z36" s="54" t="str">
        <f t="shared" si="13"/>
        <v>宗地开发程度</v>
      </c>
      <c r="AA36" s="771">
        <f t="shared" si="3"/>
        <v>1</v>
      </c>
      <c r="AB36" s="771">
        <f t="shared" si="4"/>
        <v>1</v>
      </c>
      <c r="AC36" s="771">
        <f t="shared" si="5"/>
        <v>1</v>
      </c>
    </row>
    <row r="37" spans="1:29" ht="15">
      <c r="A37" s="470"/>
      <c r="B37" s="420" t="s">
        <v>2754</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8"/>
      <c r="M37" s="1129"/>
      <c r="N37" s="1129"/>
      <c r="O37" s="1137"/>
      <c r="P37" s="3240" t="s">
        <v>2565</v>
      </c>
      <c r="Q37" s="1808" t="str">
        <f t="shared" si="14"/>
        <v>工程地质条件</v>
      </c>
      <c r="R37" s="772" t="s">
        <v>17</v>
      </c>
      <c r="S37" s="773">
        <f t="shared" si="10"/>
        <v>100</v>
      </c>
      <c r="T37" s="772" t="s">
        <v>17</v>
      </c>
      <c r="U37" s="773">
        <f t="shared" si="11"/>
        <v>100</v>
      </c>
      <c r="V37" s="772" t="s">
        <v>17</v>
      </c>
      <c r="W37" s="773">
        <f t="shared" si="12"/>
        <v>100</v>
      </c>
      <c r="X37" s="1811"/>
      <c r="Y37" s="3240" t="s">
        <v>2565</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40"/>
      <c r="Q38" s="1808">
        <f t="shared" si="14"/>
        <v>111</v>
      </c>
      <c r="R38" s="772" t="s">
        <v>17</v>
      </c>
      <c r="S38" s="773">
        <f t="shared" si="10"/>
        <v>100</v>
      </c>
      <c r="T38" s="772" t="s">
        <v>17</v>
      </c>
      <c r="U38" s="773">
        <f t="shared" si="11"/>
        <v>100</v>
      </c>
      <c r="V38" s="772" t="s">
        <v>17</v>
      </c>
      <c r="W38" s="773">
        <f t="shared" si="12"/>
        <v>100</v>
      </c>
      <c r="X38" s="1811"/>
      <c r="Y38" s="3240"/>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40"/>
      <c r="Q39" s="1808">
        <f t="shared" si="14"/>
        <v>111</v>
      </c>
      <c r="R39" s="772" t="s">
        <v>17</v>
      </c>
      <c r="S39" s="773">
        <f t="shared" si="10"/>
        <v>100</v>
      </c>
      <c r="T39" s="772" t="s">
        <v>17</v>
      </c>
      <c r="U39" s="773">
        <f t="shared" si="11"/>
        <v>100</v>
      </c>
      <c r="V39" s="772" t="s">
        <v>17</v>
      </c>
      <c r="W39" s="773">
        <f t="shared" si="12"/>
        <v>100</v>
      </c>
      <c r="X39" s="1811"/>
      <c r="Y39" s="3240"/>
      <c r="Z39" s="1812">
        <f t="shared" si="13"/>
        <v>111</v>
      </c>
      <c r="AA39" s="1809">
        <f t="shared" si="3"/>
        <v>1</v>
      </c>
      <c r="AB39" s="1809">
        <f t="shared" si="4"/>
        <v>1</v>
      </c>
      <c r="AC39" s="1809">
        <f t="shared" si="5"/>
        <v>1</v>
      </c>
    </row>
    <row r="40" spans="1:29" s="469" customFormat="1" ht="15.75" thickBot="1">
      <c r="A40" s="466"/>
      <c r="B40" s="1385">
        <v>111</v>
      </c>
      <c r="C40" s="2699"/>
      <c r="D40" s="136">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40"/>
      <c r="Q40" s="1808">
        <f t="shared" si="14"/>
        <v>111</v>
      </c>
      <c r="R40" s="775" t="s">
        <v>17</v>
      </c>
      <c r="S40" s="776">
        <f t="shared" si="10"/>
        <v>100</v>
      </c>
      <c r="T40" s="775" t="s">
        <v>17</v>
      </c>
      <c r="U40" s="776">
        <f t="shared" si="11"/>
        <v>100</v>
      </c>
      <c r="V40" s="775" t="s">
        <v>17</v>
      </c>
      <c r="W40" s="776">
        <f t="shared" si="12"/>
        <v>100</v>
      </c>
      <c r="X40" s="777"/>
      <c r="Y40" s="3240"/>
      <c r="Z40" s="778">
        <f t="shared" si="13"/>
        <v>111</v>
      </c>
      <c r="AA40" s="1809">
        <f t="shared" si="3"/>
        <v>1</v>
      </c>
      <c r="AB40" s="1809">
        <f t="shared" si="4"/>
        <v>1</v>
      </c>
      <c r="AC40" s="1809">
        <f t="shared" si="5"/>
        <v>1</v>
      </c>
    </row>
    <row r="41" spans="1:29" ht="15">
      <c r="A41" s="477" t="s">
        <v>2720</v>
      </c>
      <c r="B41" s="2700" t="s">
        <v>2799</v>
      </c>
      <c r="C41" s="680" t="s">
        <v>1</v>
      </c>
      <c r="D41" s="479"/>
      <c r="E41" s="480"/>
      <c r="F41" s="481"/>
      <c r="G41" s="482"/>
      <c r="H41" s="483"/>
      <c r="I41" s="480"/>
      <c r="J41" s="483"/>
      <c r="K41" s="781"/>
      <c r="L41" s="1141"/>
      <c r="M41" s="1129"/>
      <c r="N41" s="1129"/>
      <c r="O41" s="1142"/>
      <c r="P41" s="3222" t="str">
        <f>A41</f>
        <v>成交单价</v>
      </c>
      <c r="Q41" s="3222"/>
      <c r="R41" s="3235">
        <f>E41</f>
        <v>0</v>
      </c>
      <c r="S41" s="3235"/>
      <c r="T41" s="3235">
        <f>G41</f>
        <v>0</v>
      </c>
      <c r="U41" s="3235"/>
      <c r="V41" s="3235">
        <f>I41</f>
        <v>0</v>
      </c>
      <c r="W41" s="3235"/>
      <c r="X41" s="757"/>
      <c r="Y41" s="779"/>
      <c r="Z41" s="757"/>
      <c r="AA41" s="757"/>
      <c r="AB41" s="757"/>
      <c r="AC41" s="757"/>
    </row>
    <row r="42" spans="1:29" ht="15.75" thickBot="1">
      <c r="A42" s="484" t="s">
        <v>2669</v>
      </c>
      <c r="B42" s="681"/>
      <c r="C42" s="488" t="e">
        <f>R43</f>
        <v>#DIV/0!</v>
      </c>
      <c r="D42" s="487"/>
      <c r="E42" s="488" t="e">
        <f>R42</f>
        <v>#DIV/0!</v>
      </c>
      <c r="F42" s="489"/>
      <c r="G42" s="486" t="e">
        <f>T42</f>
        <v>#DIV/0!</v>
      </c>
      <c r="H42" s="487"/>
      <c r="I42" s="488" t="e">
        <f>V42</f>
        <v>#DIV/0!</v>
      </c>
      <c r="J42" s="487"/>
      <c r="K42" s="782"/>
      <c r="L42" s="1141"/>
      <c r="M42" s="1129"/>
      <c r="N42" s="1129"/>
      <c r="O42" s="1142"/>
      <c r="P42" s="3222" t="str">
        <f>A42</f>
        <v>比较价值（元/平方米）</v>
      </c>
      <c r="Q42" s="3222"/>
      <c r="R42" s="3241" t="e">
        <f>ROUND(PRODUCT(R41,AA7:AA40),0)</f>
        <v>#DIV/0!</v>
      </c>
      <c r="S42" s="3241"/>
      <c r="T42" s="3241" t="e">
        <f>ROUND(PRODUCT(T41,AB7:AB40),0)</f>
        <v>#DIV/0!</v>
      </c>
      <c r="U42" s="3241"/>
      <c r="V42" s="3241" t="e">
        <f>ROUND(PRODUCT(V41,AC7:AC40),0)</f>
        <v>#DIV/0!</v>
      </c>
      <c r="W42" s="3241"/>
      <c r="X42" s="757"/>
      <c r="Y42" s="757"/>
      <c r="Z42" s="757"/>
      <c r="AA42" s="757"/>
      <c r="AB42" s="757"/>
      <c r="AC42" s="757"/>
    </row>
    <row r="43" spans="1:29" ht="15.75" thickBot="1">
      <c r="A43" s="490" t="s">
        <v>2670</v>
      </c>
      <c r="B43" s="491"/>
      <c r="C43" s="492" t="e">
        <f>R43</f>
        <v>#DIV/0!</v>
      </c>
      <c r="D43" s="492"/>
      <c r="E43" s="492"/>
      <c r="F43" s="492"/>
      <c r="G43" s="492"/>
      <c r="H43" s="492"/>
      <c r="I43" s="492"/>
      <c r="J43" s="492"/>
      <c r="K43" s="783"/>
      <c r="L43" s="1141"/>
      <c r="M43" s="1129"/>
      <c r="N43" s="1129"/>
      <c r="O43" s="1142"/>
      <c r="P43" s="3242" t="str">
        <f>A43</f>
        <v>估价对象XX用房的比较价值（楼面单价，元/平方米）</v>
      </c>
      <c r="Q43" s="3243"/>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2757</v>
      </c>
      <c r="B50" s="683" t="s">
        <v>2758</v>
      </c>
      <c r="C50" s="2701" t="s">
        <v>2759</v>
      </c>
      <c r="D50" s="2702" t="s">
        <v>2760</v>
      </c>
      <c r="E50" s="684" t="s">
        <v>2761</v>
      </c>
      <c r="F50" s="685" t="s">
        <v>2762</v>
      </c>
      <c r="G50" s="3223" t="s">
        <v>2763</v>
      </c>
      <c r="H50" s="3245"/>
      <c r="I50" s="1812" t="s">
        <v>2800</v>
      </c>
      <c r="J50" s="1812" t="str">
        <f>项目基本情况!F35</f>
        <v>重庆市</v>
      </c>
      <c r="K50" s="2704" t="s">
        <v>2765</v>
      </c>
      <c r="L50" s="1104"/>
      <c r="M50" s="1142"/>
      <c r="N50" s="1142"/>
      <c r="O50" s="1142"/>
    </row>
    <row r="51" spans="1:17" s="690" customFormat="1">
      <c r="A51" s="686" t="s">
        <v>2766</v>
      </c>
      <c r="B51" s="687" t="e">
        <f>C43</f>
        <v>#DIV/0!</v>
      </c>
      <c r="C51" s="688">
        <v>1</v>
      </c>
      <c r="D51" s="1161">
        <v>1</v>
      </c>
      <c r="E51" s="688">
        <f>'数据-汇总表'!E8+'数据-汇总表'!E9</f>
        <v>3217.2100000000009</v>
      </c>
      <c r="F51" s="689" t="e">
        <f t="shared" ref="F51:F60" si="15">ROUND(B51*E51/10000,0)</f>
        <v>#DIV/0!</v>
      </c>
      <c r="G51" s="3246"/>
      <c r="H51" s="3222"/>
      <c r="I51" s="940">
        <v>1</v>
      </c>
      <c r="J51" s="940">
        <v>1</v>
      </c>
      <c r="K51" s="1143"/>
      <c r="L51" s="939"/>
      <c r="M51" s="939"/>
      <c r="N51" s="939"/>
      <c r="O51" s="939"/>
    </row>
    <row r="52" spans="1:17" s="690" customFormat="1">
      <c r="A52" s="691" t="s">
        <v>2767</v>
      </c>
      <c r="B52" s="261" t="e">
        <f>ROUND($C$43*C52*D52,0)</f>
        <v>#DIV/0!</v>
      </c>
      <c r="C52" s="199">
        <f t="shared" ref="C52:C60" si="16">IF($C$50="北京市系数",I52,J52)</f>
        <v>0</v>
      </c>
      <c r="D52" s="1162">
        <v>0.25</v>
      </c>
      <c r="E52" s="692"/>
      <c r="F52" s="689" t="e">
        <f t="shared" si="15"/>
        <v>#DIV/0!</v>
      </c>
      <c r="G52" s="3247" t="s">
        <v>2768</v>
      </c>
      <c r="H52" s="1102">
        <f>项目基本情况!B37</f>
        <v>0</v>
      </c>
      <c r="I52" s="940">
        <f>SUMIF(修正!A45:A56,H52,修正!B45:B56)</f>
        <v>0</v>
      </c>
      <c r="J52" s="941"/>
      <c r="K52" s="1142"/>
      <c r="L52" s="939"/>
      <c r="M52" s="939"/>
      <c r="N52" s="939"/>
      <c r="O52" s="939"/>
    </row>
    <row r="53" spans="1:17" s="690" customFormat="1">
      <c r="A53" s="691" t="s">
        <v>2769</v>
      </c>
      <c r="B53" s="261" t="e">
        <f t="shared" ref="B53:B60" si="17">ROUND($C$43*C53*D53,0)</f>
        <v>#DIV/0!</v>
      </c>
      <c r="C53" s="199">
        <f t="shared" si="16"/>
        <v>0</v>
      </c>
      <c r="D53" s="1162">
        <v>0.25</v>
      </c>
      <c r="E53" s="692"/>
      <c r="F53" s="689" t="e">
        <f t="shared" si="15"/>
        <v>#DIV/0!</v>
      </c>
      <c r="G53" s="3247"/>
      <c r="H53" s="1102">
        <f>项目基本情况!B37</f>
        <v>0</v>
      </c>
      <c r="I53" s="940">
        <f>SUMIF(修正!A45:A56,H53,修正!C45:C56)</f>
        <v>0</v>
      </c>
      <c r="J53" s="941"/>
      <c r="K53" s="1143"/>
      <c r="L53" s="939"/>
      <c r="M53" s="939"/>
      <c r="N53" s="939"/>
      <c r="O53" s="939"/>
    </row>
    <row r="54" spans="1:17" s="690" customFormat="1">
      <c r="A54" s="691" t="s">
        <v>2770</v>
      </c>
      <c r="B54" s="261" t="e">
        <f t="shared" si="17"/>
        <v>#DIV/0!</v>
      </c>
      <c r="C54" s="199">
        <f t="shared" si="16"/>
        <v>0</v>
      </c>
      <c r="D54" s="1162">
        <v>0.25</v>
      </c>
      <c r="E54" s="692"/>
      <c r="F54" s="689" t="e">
        <f t="shared" si="15"/>
        <v>#DIV/0!</v>
      </c>
      <c r="G54" s="3247"/>
      <c r="H54" s="1102">
        <f>项目基本情况!B37</f>
        <v>0</v>
      </c>
      <c r="I54" s="940">
        <f>SUMIF(修正!A45:A56,H54,修正!D45:D56)</f>
        <v>0</v>
      </c>
      <c r="J54" s="941"/>
      <c r="K54" s="1142"/>
      <c r="L54" s="939"/>
      <c r="M54" s="939"/>
      <c r="N54" s="939"/>
      <c r="O54" s="939"/>
    </row>
    <row r="55" spans="1:17" s="690" customFormat="1">
      <c r="A55" s="691" t="s">
        <v>2771</v>
      </c>
      <c r="B55" s="261" t="e">
        <f t="shared" si="17"/>
        <v>#DIV/0!</v>
      </c>
      <c r="C55" s="199">
        <f t="shared" si="16"/>
        <v>0</v>
      </c>
      <c r="D55" s="1162">
        <v>0.25</v>
      </c>
      <c r="E55" s="692"/>
      <c r="F55" s="689" t="e">
        <f t="shared" si="15"/>
        <v>#DIV/0!</v>
      </c>
      <c r="G55" s="3247"/>
      <c r="H55" s="1102">
        <f>项目基本情况!B37</f>
        <v>0</v>
      </c>
      <c r="I55" s="940">
        <f>SUMIF(修正!A45:A56,H55,修正!E45:E56)</f>
        <v>0</v>
      </c>
      <c r="J55" s="941"/>
      <c r="K55" s="1143"/>
      <c r="L55" s="939"/>
      <c r="M55" s="939"/>
      <c r="N55" s="939"/>
      <c r="O55" s="939"/>
    </row>
    <row r="56" spans="1:17" s="690" customFormat="1">
      <c r="A56" s="691" t="s">
        <v>2772</v>
      </c>
      <c r="B56" s="261" t="e">
        <f t="shared" si="17"/>
        <v>#DIV/0!</v>
      </c>
      <c r="C56" s="199">
        <f t="shared" si="16"/>
        <v>0</v>
      </c>
      <c r="D56" s="1162">
        <v>0.25</v>
      </c>
      <c r="E56" s="260">
        <f>'数据-汇总表'!E11</f>
        <v>0</v>
      </c>
      <c r="F56" s="689" t="e">
        <f t="shared" si="15"/>
        <v>#DIV/0!</v>
      </c>
      <c r="G56" s="2705" t="s">
        <v>2773</v>
      </c>
      <c r="H56" s="1102">
        <f>项目基本情况!C37</f>
        <v>0</v>
      </c>
      <c r="I56" s="940">
        <f>SUMIF(修正!A45:A56,H56,修正!F45:F56)</f>
        <v>0</v>
      </c>
      <c r="J56" s="941"/>
      <c r="K56" s="1142"/>
      <c r="L56" s="939"/>
      <c r="M56" s="939"/>
      <c r="N56" s="939"/>
      <c r="O56" s="939"/>
    </row>
    <row r="57" spans="1:17" s="690" customFormat="1">
      <c r="A57" s="691" t="s">
        <v>2774</v>
      </c>
      <c r="B57" s="261" t="e">
        <f t="shared" si="17"/>
        <v>#DIV/0!</v>
      </c>
      <c r="C57" s="199">
        <f t="shared" si="16"/>
        <v>0</v>
      </c>
      <c r="D57" s="1162">
        <v>0.25</v>
      </c>
      <c r="E57" s="260">
        <f>'数据-汇总表'!E12</f>
        <v>0</v>
      </c>
      <c r="F57" s="689"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2776</v>
      </c>
      <c r="B58" s="261" t="e">
        <f t="shared" si="17"/>
        <v>#DIV/0!</v>
      </c>
      <c r="C58" s="199">
        <f t="shared" si="16"/>
        <v>0</v>
      </c>
      <c r="D58" s="1162">
        <v>0.25</v>
      </c>
      <c r="E58" s="260">
        <f>'数据-汇总表'!E13</f>
        <v>0</v>
      </c>
      <c r="F58" s="689" t="e">
        <f t="shared" si="15"/>
        <v>#DIV/0!</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2778</v>
      </c>
      <c r="B59" s="261" t="e">
        <f t="shared" si="17"/>
        <v>#DIV/0!</v>
      </c>
      <c r="C59" s="199">
        <f t="shared" si="16"/>
        <v>0</v>
      </c>
      <c r="D59" s="1162">
        <v>0.25</v>
      </c>
      <c r="E59" s="260">
        <f>'数据-汇总表'!E14</f>
        <v>0</v>
      </c>
      <c r="F59" s="689" t="e">
        <f t="shared" si="15"/>
        <v>#DIV/0!</v>
      </c>
      <c r="G59" s="2705" t="s">
        <v>2768</v>
      </c>
      <c r="H59" s="1102">
        <f>项目基本情况!B37</f>
        <v>0</v>
      </c>
      <c r="I59" s="940">
        <f>SUMIF(修正!A45:A56,H59,修正!H45:H56)</f>
        <v>0</v>
      </c>
      <c r="J59" s="941"/>
      <c r="K59" s="1143"/>
      <c r="L59" s="939"/>
      <c r="M59" s="939"/>
      <c r="N59" s="939"/>
      <c r="O59" s="939"/>
    </row>
    <row r="60" spans="1:17" s="690" customFormat="1" ht="15" thickBot="1">
      <c r="A60" s="691" t="s">
        <v>2779</v>
      </c>
      <c r="B60" s="261" t="e">
        <f t="shared" si="17"/>
        <v>#DIV/0!</v>
      </c>
      <c r="C60" s="199">
        <f t="shared" si="16"/>
        <v>0</v>
      </c>
      <c r="D60" s="1162">
        <v>0.25</v>
      </c>
      <c r="E60" s="260">
        <f>'数据-汇总表'!E15</f>
        <v>0</v>
      </c>
      <c r="F60" s="689" t="e">
        <f t="shared" si="15"/>
        <v>#DIV/0!</v>
      </c>
      <c r="G60" s="2706" t="s">
        <v>2773</v>
      </c>
      <c r="H60" s="1112">
        <f>项目基本情况!C37</f>
        <v>0</v>
      </c>
      <c r="I60" s="940">
        <f>SUMIF(修正!A45:A56,H60,修正!H45:H56)</f>
        <v>0</v>
      </c>
      <c r="J60" s="941"/>
      <c r="K60" s="1142"/>
      <c r="L60" s="939"/>
      <c r="M60" s="939"/>
      <c r="N60" s="939"/>
      <c r="O60" s="939"/>
    </row>
    <row r="61" spans="1:17" s="690" customFormat="1" ht="15" thickBot="1">
      <c r="A61" s="693" t="s">
        <v>2780</v>
      </c>
      <c r="B61" s="694" t="s">
        <v>28</v>
      </c>
      <c r="C61" s="694" t="s">
        <v>29</v>
      </c>
      <c r="D61" s="694" t="s">
        <v>1029</v>
      </c>
      <c r="E61" s="694">
        <f>IF(B41="楼面地价",SUM(E51:E60),'数据-汇总表'!D3)</f>
        <v>900.43</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2674</v>
      </c>
      <c r="B64" s="757"/>
      <c r="C64" s="762"/>
      <c r="D64" s="762"/>
      <c r="E64" s="762"/>
      <c r="F64" s="763"/>
      <c r="G64" s="763"/>
      <c r="H64" s="762"/>
      <c r="I64" s="762"/>
      <c r="J64" s="762"/>
      <c r="K64" s="764"/>
      <c r="L64" s="765"/>
      <c r="M64" s="762"/>
      <c r="N64" s="762"/>
      <c r="O64" s="1157"/>
      <c r="P64" s="501"/>
      <c r="Q64" s="502"/>
    </row>
    <row r="65" spans="1:17" s="506" customFormat="1" ht="15">
      <c r="A65" s="2707" t="s">
        <v>2781</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5"/>
    </row>
    <row r="66" spans="1:17" s="116" customFormat="1" ht="30.75" customHeight="1">
      <c r="A66" s="2712" t="s">
        <v>2801</v>
      </c>
      <c r="B66" s="331" t="str">
        <f>"北京市平均增长率"&amp;TEXT(基准地价修正!P24,"0.00%")</f>
        <v>北京市平均增长率1.31%</v>
      </c>
      <c r="C66" s="601">
        <v>100</v>
      </c>
      <c r="D66" s="593"/>
      <c r="E66" s="593"/>
      <c r="F66" s="593"/>
      <c r="G66" s="593"/>
      <c r="H66" s="593"/>
      <c r="I66" s="593"/>
      <c r="J66" s="593"/>
      <c r="K66" s="593"/>
      <c r="L66" s="593"/>
      <c r="M66" s="1565"/>
      <c r="N66" s="1565"/>
      <c r="O66" s="1567"/>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2588</v>
      </c>
      <c r="B70" s="526" t="s">
        <v>2554</v>
      </c>
      <c r="C70" s="528"/>
      <c r="D70" s="528"/>
      <c r="E70" s="528"/>
      <c r="F70" s="528"/>
      <c r="G70" s="528"/>
      <c r="H70" s="528"/>
      <c r="I70" s="528"/>
      <c r="J70" s="528"/>
      <c r="K70" s="529"/>
      <c r="L70" s="530"/>
      <c r="M70" s="531"/>
      <c r="N70" s="1150"/>
      <c r="O70" s="1150"/>
      <c r="P70" s="44"/>
      <c r="Q70" s="502"/>
    </row>
    <row r="71" spans="1:17" ht="15.75" thickBot="1">
      <c r="A71" s="532"/>
      <c r="B71" s="533"/>
      <c r="C71" s="534"/>
      <c r="D71" s="534"/>
      <c r="E71" s="534"/>
      <c r="F71" s="534"/>
      <c r="G71" s="534"/>
      <c r="H71" s="534"/>
      <c r="I71" s="534"/>
      <c r="J71" s="534"/>
      <c r="K71" s="534"/>
      <c r="L71" s="534"/>
      <c r="M71" s="535"/>
      <c r="N71" s="1151"/>
      <c r="O71" s="1151"/>
      <c r="P71" s="44"/>
      <c r="Q71" s="502"/>
    </row>
    <row r="72" spans="1:17" ht="27.75" thickTop="1">
      <c r="A72" s="532"/>
      <c r="B72" s="536" t="s">
        <v>2557</v>
      </c>
      <c r="C72" s="537"/>
      <c r="D72" s="537"/>
      <c r="E72" s="537"/>
      <c r="F72" s="537"/>
      <c r="G72" s="537"/>
      <c r="H72" s="537"/>
      <c r="I72" s="537"/>
      <c r="J72" s="537"/>
      <c r="K72" s="538"/>
      <c r="L72" s="539"/>
      <c r="M72" s="540"/>
      <c r="N72" s="1150"/>
      <c r="O72" s="1150"/>
      <c r="P72" s="44"/>
      <c r="Q72" s="502"/>
    </row>
    <row r="73" spans="1:17" ht="15.75" thickBot="1">
      <c r="A73" s="532"/>
      <c r="B73" s="541"/>
      <c r="C73" s="542"/>
      <c r="D73" s="542"/>
      <c r="E73" s="542"/>
      <c r="F73" s="542"/>
      <c r="G73" s="542"/>
      <c r="H73" s="542"/>
      <c r="I73" s="542"/>
      <c r="J73" s="542"/>
      <c r="K73" s="542"/>
      <c r="L73" s="542"/>
      <c r="M73" s="543"/>
      <c r="N73" s="1151"/>
      <c r="O73" s="1151"/>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4"/>
      <c r="Q74" s="502"/>
    </row>
    <row r="75" spans="1:17" ht="15">
      <c r="A75" s="532"/>
      <c r="B75" s="546"/>
      <c r="C75" s="547"/>
      <c r="D75" s="547"/>
      <c r="E75" s="547"/>
      <c r="F75" s="547"/>
      <c r="G75" s="547"/>
      <c r="H75" s="547"/>
      <c r="I75" s="547"/>
      <c r="J75" s="547"/>
      <c r="K75" s="548"/>
      <c r="L75" s="549"/>
      <c r="M75" s="550"/>
      <c r="N75" s="1150"/>
      <c r="O75" s="1150"/>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4"/>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50"/>
      <c r="O85" s="1150"/>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4"/>
      <c r="Q86" s="502"/>
    </row>
    <row r="87" spans="1:17" s="116" customFormat="1" ht="15.75" thickTop="1">
      <c r="A87" s="577"/>
      <c r="B87" s="536" t="s">
        <v>2784</v>
      </c>
      <c r="C87" s="571" t="s">
        <v>2597</v>
      </c>
      <c r="D87" s="571" t="s">
        <v>2598</v>
      </c>
      <c r="E87" s="571" t="s">
        <v>2599</v>
      </c>
      <c r="F87" s="571" t="s">
        <v>2600</v>
      </c>
      <c r="G87" s="571" t="s">
        <v>2601</v>
      </c>
      <c r="H87" s="576"/>
      <c r="I87" s="576"/>
      <c r="J87" s="576"/>
      <c r="K87" s="576"/>
      <c r="L87" s="696"/>
      <c r="M87" s="620"/>
      <c r="N87" s="1149"/>
      <c r="O87" s="1149"/>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4"/>
      <c r="Q88" s="502"/>
    </row>
    <row r="89" spans="1:17" s="116" customFormat="1" ht="27.75" thickTop="1">
      <c r="A89" s="577"/>
      <c r="B89" s="536" t="s">
        <v>2785</v>
      </c>
      <c r="C89" s="571" t="s">
        <v>2597</v>
      </c>
      <c r="D89" s="571" t="s">
        <v>2598</v>
      </c>
      <c r="E89" s="571" t="s">
        <v>2599</v>
      </c>
      <c r="F89" s="571" t="s">
        <v>2600</v>
      </c>
      <c r="G89" s="571" t="s">
        <v>2601</v>
      </c>
      <c r="H89" s="576"/>
      <c r="I89" s="576"/>
      <c r="J89" s="576"/>
      <c r="K89" s="576"/>
      <c r="L89" s="576"/>
      <c r="M89" s="620"/>
      <c r="N89" s="1149"/>
      <c r="O89" s="1149"/>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2802</v>
      </c>
      <c r="C93" s="658" t="s">
        <v>2675</v>
      </c>
      <c r="D93" s="658" t="s">
        <v>2676</v>
      </c>
      <c r="E93" s="658" t="s">
        <v>2677</v>
      </c>
      <c r="F93" s="658" t="s">
        <v>2678</v>
      </c>
      <c r="G93" s="658" t="s">
        <v>2679</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50"/>
      <c r="O95" s="1150"/>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4"/>
      <c r="Q96" s="502"/>
    </row>
    <row r="97" spans="1:17" ht="27.75" thickTop="1">
      <c r="A97" s="532"/>
      <c r="B97" s="536" t="s">
        <v>2691</v>
      </c>
      <c r="C97" s="552"/>
      <c r="D97" s="552"/>
      <c r="E97" s="552"/>
      <c r="F97" s="552"/>
      <c r="G97" s="552"/>
      <c r="H97" s="581"/>
      <c r="I97" s="581"/>
      <c r="J97" s="581"/>
      <c r="K97" s="582"/>
      <c r="L97" s="583"/>
      <c r="M97" s="584"/>
      <c r="N97" s="1150"/>
      <c r="O97" s="1150"/>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4"/>
      <c r="Q98" s="502"/>
    </row>
    <row r="99" spans="1:17" ht="15.75" thickTop="1">
      <c r="A99" s="532"/>
      <c r="B99" s="536" t="s">
        <v>2749</v>
      </c>
      <c r="C99" s="581"/>
      <c r="D99" s="581"/>
      <c r="E99" s="581"/>
      <c r="F99" s="581"/>
      <c r="G99" s="581"/>
      <c r="H99" s="581"/>
      <c r="I99" s="581"/>
      <c r="J99" s="581"/>
      <c r="K99" s="582"/>
      <c r="L99" s="583"/>
      <c r="M99" s="584"/>
      <c r="N99" s="1150"/>
      <c r="O99" s="1150"/>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4"/>
      <c r="Q100" s="502"/>
    </row>
    <row r="101" spans="1:17" ht="15.75" thickTop="1">
      <c r="A101" s="532"/>
      <c r="B101" s="544">
        <f>B31</f>
        <v>111</v>
      </c>
      <c r="C101" s="552"/>
      <c r="D101" s="552"/>
      <c r="E101" s="552"/>
      <c r="F101" s="552"/>
      <c r="G101" s="585"/>
      <c r="H101" s="585"/>
      <c r="I101" s="585"/>
      <c r="J101" s="585"/>
      <c r="K101" s="586"/>
      <c r="L101" s="587"/>
      <c r="M101" s="588"/>
      <c r="N101" s="1150"/>
      <c r="O101" s="1150"/>
      <c r="P101" s="44"/>
      <c r="Q101" s="502"/>
    </row>
    <row r="102" spans="1:17" ht="15.75" thickBot="1">
      <c r="A102" s="532"/>
      <c r="B102" s="567"/>
      <c r="C102" s="558"/>
      <c r="D102" s="534"/>
      <c r="E102" s="534"/>
      <c r="F102" s="534"/>
      <c r="G102" s="589"/>
      <c r="H102" s="589"/>
      <c r="I102" s="589"/>
      <c r="J102" s="589"/>
      <c r="K102" s="589"/>
      <c r="L102" s="589"/>
      <c r="M102" s="590"/>
      <c r="N102" s="1151"/>
      <c r="O102" s="1151"/>
      <c r="P102" s="44"/>
      <c r="Q102" s="502"/>
    </row>
    <row r="103" spans="1:17" ht="15" thickTop="1">
      <c r="A103" s="673"/>
      <c r="B103" s="536">
        <f>B32</f>
        <v>111</v>
      </c>
      <c r="C103" s="552"/>
      <c r="D103" s="552"/>
      <c r="E103" s="552"/>
      <c r="F103" s="552"/>
      <c r="G103" s="581"/>
      <c r="H103" s="581"/>
      <c r="I103" s="581"/>
      <c r="J103" s="581"/>
      <c r="K103" s="582"/>
      <c r="L103" s="583"/>
      <c r="M103" s="584"/>
      <c r="N103" s="1150"/>
      <c r="O103" s="1150"/>
      <c r="P103" s="44"/>
      <c r="Q103" s="502"/>
    </row>
    <row r="104" spans="1:17" ht="15.75" thickBot="1">
      <c r="A104" s="532"/>
      <c r="B104" s="541"/>
      <c r="C104" s="558"/>
      <c r="D104" s="558"/>
      <c r="E104" s="558"/>
      <c r="F104" s="558"/>
      <c r="G104" s="534"/>
      <c r="H104" s="534"/>
      <c r="I104" s="534"/>
      <c r="J104" s="534"/>
      <c r="K104" s="534"/>
      <c r="L104" s="534"/>
      <c r="M104" s="535"/>
      <c r="N104" s="1151"/>
      <c r="O104" s="1151"/>
      <c r="P104" s="44"/>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2563</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4"/>
      <c r="Q107" s="502"/>
    </row>
    <row r="108" spans="1:17" ht="15">
      <c r="A108" s="532"/>
      <c r="B108" s="544"/>
      <c r="C108" s="593"/>
      <c r="D108" s="593"/>
      <c r="E108" s="593"/>
      <c r="F108" s="593"/>
      <c r="G108" s="593"/>
      <c r="H108" s="593"/>
      <c r="I108" s="593"/>
      <c r="J108" s="594"/>
      <c r="K108" s="594"/>
      <c r="L108" s="595"/>
      <c r="M108" s="596"/>
      <c r="N108" s="1150"/>
      <c r="O108" s="1150"/>
      <c r="P108" s="44"/>
      <c r="Q108" s="502"/>
    </row>
    <row r="109" spans="1:17" ht="15.75" thickBot="1">
      <c r="A109" s="532"/>
      <c r="B109" s="541"/>
      <c r="C109" s="568"/>
      <c r="D109" s="589"/>
      <c r="E109" s="589"/>
      <c r="F109" s="589"/>
      <c r="G109" s="589"/>
      <c r="H109" s="589"/>
      <c r="I109" s="589"/>
      <c r="J109" s="589"/>
      <c r="K109" s="589"/>
      <c r="L109" s="589"/>
      <c r="M109" s="590"/>
      <c r="N109" s="1151"/>
      <c r="O109" s="1151"/>
      <c r="P109" s="44"/>
      <c r="Q109" s="502"/>
    </row>
    <row r="110" spans="1:17" ht="15" thickTop="1">
      <c r="A110" s="597"/>
      <c r="B110" s="536" t="s">
        <v>2791</v>
      </c>
      <c r="C110" s="581"/>
      <c r="D110" s="581"/>
      <c r="E110" s="581"/>
      <c r="F110" s="581"/>
      <c r="G110" s="581"/>
      <c r="H110" s="581"/>
      <c r="I110" s="581"/>
      <c r="J110" s="581"/>
      <c r="K110" s="582"/>
      <c r="L110" s="583"/>
      <c r="M110" s="584"/>
      <c r="N110" s="1150"/>
      <c r="O110" s="1150"/>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4"/>
      <c r="Q111" s="502"/>
    </row>
    <row r="112" spans="1:17" s="469" customFormat="1" ht="15" thickTop="1">
      <c r="A112" s="591"/>
      <c r="B112" s="536" t="s">
        <v>2793</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2794</v>
      </c>
      <c r="C114" s="552"/>
      <c r="D114" s="552"/>
      <c r="E114" s="581"/>
      <c r="F114" s="581"/>
      <c r="G114" s="581"/>
      <c r="H114" s="581"/>
      <c r="I114" s="581"/>
      <c r="J114" s="581"/>
      <c r="K114" s="582"/>
      <c r="L114" s="583"/>
      <c r="M114" s="584"/>
      <c r="N114" s="1150"/>
      <c r="O114" s="1150"/>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4"/>
      <c r="Q115" s="502"/>
    </row>
    <row r="116" spans="1:17" ht="15" thickTop="1">
      <c r="A116" s="597"/>
      <c r="B116" s="536">
        <f>B38</f>
        <v>111</v>
      </c>
      <c r="C116" s="552"/>
      <c r="D116" s="552"/>
      <c r="E116" s="552"/>
      <c r="F116" s="552"/>
      <c r="G116" s="552"/>
      <c r="H116" s="581"/>
      <c r="I116" s="581"/>
      <c r="J116" s="581"/>
      <c r="K116" s="582"/>
      <c r="L116" s="583"/>
      <c r="M116" s="584"/>
      <c r="N116" s="1150"/>
      <c r="O116" s="1150"/>
      <c r="P116" s="44"/>
      <c r="Q116" s="502"/>
    </row>
    <row r="117" spans="1:17" ht="15.75" thickBot="1">
      <c r="A117" s="532"/>
      <c r="B117" s="541"/>
      <c r="C117" s="558"/>
      <c r="D117" s="534"/>
      <c r="E117" s="534"/>
      <c r="F117" s="534"/>
      <c r="G117" s="534"/>
      <c r="H117" s="534"/>
      <c r="I117" s="534"/>
      <c r="J117" s="534"/>
      <c r="K117" s="534"/>
      <c r="L117" s="534"/>
      <c r="M117" s="535"/>
      <c r="N117" s="1151"/>
      <c r="O117" s="1151"/>
      <c r="P117" s="44"/>
      <c r="Q117" s="502"/>
    </row>
    <row r="118" spans="1:17" ht="15" thickTop="1">
      <c r="A118" s="597"/>
      <c r="B118" s="536">
        <f>B39</f>
        <v>111</v>
      </c>
      <c r="C118" s="552"/>
      <c r="D118" s="552"/>
      <c r="E118" s="552"/>
      <c r="F118" s="552"/>
      <c r="G118" s="581"/>
      <c r="H118" s="581"/>
      <c r="I118" s="581"/>
      <c r="J118" s="581"/>
      <c r="K118" s="582"/>
      <c r="L118" s="583"/>
      <c r="M118" s="584"/>
      <c r="N118" s="1150"/>
      <c r="O118" s="1150"/>
      <c r="P118" s="44"/>
      <c r="Q118" s="502"/>
    </row>
    <row r="119" spans="1:17" ht="15.75" thickBot="1">
      <c r="A119" s="532"/>
      <c r="B119" s="541"/>
      <c r="C119" s="558"/>
      <c r="D119" s="558"/>
      <c r="E119" s="558"/>
      <c r="F119" s="558"/>
      <c r="G119" s="534"/>
      <c r="H119" s="534"/>
      <c r="I119" s="534"/>
      <c r="J119" s="534"/>
      <c r="K119" s="534"/>
      <c r="L119" s="534"/>
      <c r="M119" s="535"/>
      <c r="N119" s="1151"/>
      <c r="O119" s="1151"/>
      <c r="P119" s="44"/>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2803</v>
      </c>
      <c r="B1" s="240"/>
      <c r="C1" s="244" t="s">
        <v>2804</v>
      </c>
      <c r="D1" s="387">
        <f>SUM(D29:D30,D33:D39)</f>
        <v>0</v>
      </c>
      <c r="E1" s="2713"/>
      <c r="F1" s="2713"/>
      <c r="G1" s="2713"/>
      <c r="H1" s="2713"/>
      <c r="I1" s="2713"/>
      <c r="J1" s="2713"/>
      <c r="K1" s="1368"/>
      <c r="L1" s="2714" t="s">
        <v>2805</v>
      </c>
      <c r="M1" s="1078">
        <f>SUMPRODUCT((区片价!B5:B9=I2)*(区片价!C3:F3=E2)*(区片价!C5:F9))</f>
        <v>0</v>
      </c>
      <c r="N1" s="1081">
        <f>SUMPRODUCT((因素修正幅度!B5:B9=I2)*(因素修正幅度!C3:F3=E2)*(因素修正幅度!C5:F9))</f>
        <v>0</v>
      </c>
      <c r="O1" s="2715"/>
      <c r="P1" s="2715"/>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t="e">
        <f>C26</f>
        <v>#DIV/0!</v>
      </c>
      <c r="C2" s="2717" t="s">
        <v>2812</v>
      </c>
      <c r="D2" s="2718" t="s">
        <v>2813</v>
      </c>
      <c r="E2" s="2719"/>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8"/>
      <c r="L2" s="2722"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2817</v>
      </c>
      <c r="B3" s="247" t="e">
        <f>ROUND(B2*10000/D1,0)</f>
        <v>#DIV/0!</v>
      </c>
      <c r="C3" s="2717" t="s">
        <v>2818</v>
      </c>
      <c r="D3" s="2718" t="s">
        <v>2819</v>
      </c>
      <c r="E3" s="2723"/>
      <c r="F3" s="2724" t="s">
        <v>2820</v>
      </c>
      <c r="G3" s="911">
        <f>IF(F3="宗地容积率",'数据-汇总表'!I4,IF(F3="估价对象容积率",'数据-汇总表'!I6,'数据-汇总表'!I7))</f>
        <v>3.57</v>
      </c>
      <c r="H3" s="197" t="s">
        <v>2821</v>
      </c>
      <c r="I3" s="942"/>
      <c r="J3" s="2721" t="s">
        <v>2822</v>
      </c>
      <c r="K3" s="1368"/>
      <c r="L3" s="2722"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22"/>
      <c r="B4" s="3323"/>
      <c r="C4" s="3323"/>
      <c r="D4" s="3324"/>
      <c r="E4" s="3324"/>
      <c r="F4" s="3324"/>
      <c r="G4" s="3324"/>
      <c r="H4" s="3324"/>
      <c r="I4" s="3324"/>
      <c r="J4" s="3325"/>
      <c r="K4" s="1368"/>
      <c r="L4" s="2722" t="s">
        <v>2824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2825</v>
      </c>
      <c r="C5" s="912" t="e">
        <f>ROUND(IF(E2="商业",IF(F16="增加",C6*C7+C16,C6*C7-C16),IF(E2="住宅",IF(F16="增加",C6*C12+C16,C6*C12-C16),IF(F16="增加",C6+C16,C6-C16))),0)</f>
        <v>#DIV/0!</v>
      </c>
      <c r="D5" s="1785">
        <f>ROUND(IF(E2="商业",IF(F16="增加",C6+C16,C6-C16)),0)</f>
        <v>0</v>
      </c>
      <c r="E5" s="2727"/>
      <c r="F5" s="2727"/>
      <c r="G5" s="2728"/>
      <c r="H5" s="2728"/>
      <c r="I5" s="2728"/>
      <c r="J5" s="2729"/>
      <c r="K5" s="2730"/>
      <c r="L5" s="2722"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2827</v>
      </c>
      <c r="B6" s="2736" t="s">
        <v>2828</v>
      </c>
      <c r="C6" s="913">
        <f>SUMIF(L1:L12,G2,M1:M12)</f>
        <v>0</v>
      </c>
      <c r="D6" s="2737" t="s">
        <v>2829</v>
      </c>
      <c r="E6" s="2738"/>
      <c r="F6" s="2738"/>
      <c r="G6" s="2739"/>
      <c r="H6" s="2739"/>
      <c r="I6" s="2739"/>
      <c r="J6" s="2740"/>
      <c r="K6" s="1840"/>
      <c r="L6" s="2722"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308" t="str">
        <f>IF(E2="商业",IF(C8="不临58条商业街","",2),"")</f>
        <v/>
      </c>
      <c r="B7" s="2741" t="s">
        <v>2831</v>
      </c>
      <c r="C7" s="914" t="e">
        <f>IF(C8="不临58条商业街",1,ROUND(1+(1.6*E8+1.2*E9+0.8*E10+0.4*E11)*C9,4))</f>
        <v>#DIV/0!</v>
      </c>
      <c r="D7" s="2742" t="s">
        <v>2832</v>
      </c>
      <c r="E7" s="943"/>
      <c r="F7" s="2743"/>
      <c r="G7" s="2744"/>
      <c r="H7" s="2744"/>
      <c r="I7" s="2744"/>
      <c r="J7" s="2745"/>
      <c r="K7" s="1840"/>
      <c r="L7" s="2722"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2834</v>
      </c>
      <c r="X7" s="1602">
        <f>G2</f>
        <v>0</v>
      </c>
      <c r="Y7" s="1602" t="s">
        <v>2835</v>
      </c>
      <c r="Z7" s="1603">
        <f>G3</f>
        <v>3.57</v>
      </c>
      <c r="AA7" s="1604"/>
      <c r="AB7" s="1604"/>
      <c r="AC7" s="1605"/>
      <c r="AD7" s="1606"/>
      <c r="AE7" s="1606"/>
      <c r="AF7" s="1606"/>
      <c r="AG7" s="1606"/>
      <c r="AH7" s="1606"/>
      <c r="AI7" s="1606"/>
      <c r="AJ7" s="1607"/>
    </row>
    <row r="8" spans="1:36" ht="15">
      <c r="A8" s="3309"/>
      <c r="B8" s="197" t="s">
        <v>2836</v>
      </c>
      <c r="C8" s="2746"/>
      <c r="D8" s="915" t="s">
        <v>139</v>
      </c>
      <c r="E8" s="916" t="e">
        <f>ROUND(C11/E7,4)</f>
        <v>#DIV/0!</v>
      </c>
      <c r="F8" s="2747" t="s">
        <v>2837</v>
      </c>
      <c r="G8" s="2748"/>
      <c r="H8" s="2748"/>
      <c r="I8" s="2748"/>
      <c r="J8" s="2749"/>
      <c r="K8" s="1368"/>
      <c r="L8" s="2722"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9" t="s">
        <v>2839</v>
      </c>
      <c r="X8" s="3320"/>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309"/>
      <c r="B9" s="197" t="s">
        <v>2852</v>
      </c>
      <c r="C9" s="917">
        <f>SUMIF(修正!C59:C119,C8,修正!E59:E119)</f>
        <v>0</v>
      </c>
      <c r="D9" s="199" t="s">
        <v>140</v>
      </c>
      <c r="E9" s="199" t="e">
        <f>ROUND(C11/E7,4)</f>
        <v>#DIV/0!</v>
      </c>
      <c r="F9" s="2747" t="s">
        <v>2853</v>
      </c>
      <c r="G9" s="2748"/>
      <c r="H9" s="2748"/>
      <c r="I9" s="2748"/>
      <c r="J9" s="2749"/>
      <c r="K9" s="1368"/>
      <c r="L9" s="2722"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21"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9"/>
      <c r="B10" s="197" t="s">
        <v>2857</v>
      </c>
      <c r="C10" s="199">
        <f>SUMIF(修正!C59:C119,C8,修正!F59:F119)</f>
        <v>0</v>
      </c>
      <c r="D10" s="199" t="s">
        <v>141</v>
      </c>
      <c r="E10" s="199" t="e">
        <f>ROUND(C11/E7,4)</f>
        <v>#DIV/0!</v>
      </c>
      <c r="F10" s="2747" t="s">
        <v>2858</v>
      </c>
      <c r="G10" s="2748"/>
      <c r="H10" s="2748"/>
      <c r="I10" s="2748"/>
      <c r="J10" s="2749"/>
      <c r="K10" s="1368"/>
      <c r="L10" s="2722"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2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9"/>
      <c r="B11" s="2750" t="s">
        <v>2860</v>
      </c>
      <c r="C11" s="918">
        <f>C10/4</f>
        <v>0</v>
      </c>
      <c r="D11" s="918" t="s">
        <v>142</v>
      </c>
      <c r="E11" s="918" t="e">
        <f>ROUND(C11/E7,4)</f>
        <v>#DIV/0!</v>
      </c>
      <c r="F11" s="2751" t="s">
        <v>2861</v>
      </c>
      <c r="G11" s="2752"/>
      <c r="H11" s="2752"/>
      <c r="I11" s="2752"/>
      <c r="J11" s="2753"/>
      <c r="K11" s="1368"/>
      <c r="L11" s="2722"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21" t="s">
        <v>2863</v>
      </c>
      <c r="X11" s="1612" t="s">
        <v>2864</v>
      </c>
      <c r="Y11" s="1613">
        <f>$G$3</f>
        <v>3.57</v>
      </c>
      <c r="Z11" s="1613">
        <f t="shared" ref="Z11:AJ11" si="3">$G$3</f>
        <v>3.57</v>
      </c>
      <c r="AA11" s="1613">
        <f t="shared" si="3"/>
        <v>3.57</v>
      </c>
      <c r="AB11" s="1613">
        <f t="shared" si="3"/>
        <v>3.57</v>
      </c>
      <c r="AC11" s="1613">
        <f t="shared" si="3"/>
        <v>3.57</v>
      </c>
      <c r="AD11" s="1613">
        <f t="shared" si="3"/>
        <v>3.57</v>
      </c>
      <c r="AE11" s="1613">
        <f t="shared" si="3"/>
        <v>3.57</v>
      </c>
      <c r="AF11" s="1613">
        <f t="shared" si="3"/>
        <v>3.57</v>
      </c>
      <c r="AG11" s="1613">
        <f t="shared" si="3"/>
        <v>3.57</v>
      </c>
      <c r="AH11" s="1613">
        <f t="shared" si="3"/>
        <v>3.57</v>
      </c>
      <c r="AI11" s="1613">
        <f t="shared" si="3"/>
        <v>3.57</v>
      </c>
      <c r="AJ11" s="1613">
        <f t="shared" si="3"/>
        <v>3.57</v>
      </c>
    </row>
    <row r="12" spans="1:36" ht="25.5" thickBot="1">
      <c r="A12" s="3308" t="s">
        <v>2865</v>
      </c>
      <c r="B12" s="2754" t="s">
        <v>2866</v>
      </c>
      <c r="C12" s="914">
        <f>ROUND(C15*D15*E15*F15*G15*H15*I15*J15,4)</f>
        <v>1</v>
      </c>
      <c r="D12" s="2755" t="s">
        <v>2867</v>
      </c>
      <c r="E12" s="2756"/>
      <c r="F12" s="2756"/>
      <c r="G12" s="2757"/>
      <c r="H12" s="2757"/>
      <c r="I12" s="2757"/>
      <c r="J12" s="2758"/>
      <c r="K12" s="1368"/>
      <c r="L12" s="2759"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21"/>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6"/>
      <c r="B13" s="2760" t="s">
        <v>2870</v>
      </c>
      <c r="C13" s="2761" t="s">
        <v>2871</v>
      </c>
      <c r="D13" s="1806" t="s">
        <v>2872</v>
      </c>
      <c r="E13" s="1806" t="s">
        <v>2873</v>
      </c>
      <c r="F13" s="29" t="s">
        <v>2874</v>
      </c>
      <c r="G13" s="2762" t="s">
        <v>2875</v>
      </c>
      <c r="H13" s="2762" t="s">
        <v>2875</v>
      </c>
      <c r="I13" s="2762" t="s">
        <v>2875</v>
      </c>
      <c r="J13" s="2763" t="s">
        <v>2875</v>
      </c>
      <c r="K13" s="1368"/>
      <c r="L13" s="1368"/>
      <c r="M13" s="1368"/>
      <c r="N13" s="1368"/>
      <c r="O13" s="1368"/>
      <c r="P13" s="1368"/>
      <c r="Q13" s="1368"/>
      <c r="R13" s="1600">
        <v>12</v>
      </c>
      <c r="S13" s="1601"/>
      <c r="T13" s="1600" t="e">
        <f t="shared" si="0"/>
        <v>#DIV/0!</v>
      </c>
      <c r="U13" s="1601"/>
      <c r="V13" s="1600" t="e">
        <f t="shared" si="1"/>
        <v>#DIV/0!</v>
      </c>
      <c r="W13" s="3321"/>
      <c r="X13" s="1614"/>
      <c r="Y13" s="1611">
        <f>(-0.163*(Y12^2)-0.59*Y12+7617)*(10^(-4))/Y11</f>
        <v>0.21336134453781513</v>
      </c>
      <c r="Z13" s="1611">
        <f t="shared" ref="Z13:AJ13" si="5">(-0.163*(Z12^2)-0.59*Z12+7617)*(10^(-4))/Z11</f>
        <v>0.21336134453781513</v>
      </c>
      <c r="AA13" s="1611">
        <f t="shared" si="5"/>
        <v>0.21336134453781513</v>
      </c>
      <c r="AB13" s="1611">
        <f t="shared" si="5"/>
        <v>0.21336134453781513</v>
      </c>
      <c r="AC13" s="1611">
        <f t="shared" si="5"/>
        <v>0.21336134453781513</v>
      </c>
      <c r="AD13" s="1611">
        <f t="shared" si="5"/>
        <v>0.21336134453781513</v>
      </c>
      <c r="AE13" s="1611">
        <f t="shared" si="5"/>
        <v>0.21336134453781513</v>
      </c>
      <c r="AF13" s="1611">
        <f t="shared" si="5"/>
        <v>0.21336134453781513</v>
      </c>
      <c r="AG13" s="1611">
        <f t="shared" si="5"/>
        <v>0.21336134453781513</v>
      </c>
      <c r="AH13" s="1611">
        <f t="shared" si="5"/>
        <v>0.21336134453781513</v>
      </c>
      <c r="AI13" s="1611">
        <f t="shared" si="5"/>
        <v>0.21336134453781513</v>
      </c>
      <c r="AJ13" s="1611">
        <f t="shared" si="5"/>
        <v>0.21336134453781513</v>
      </c>
    </row>
    <row r="14" spans="1:36" ht="15">
      <c r="A14" s="3326"/>
      <c r="B14" s="2764"/>
      <c r="C14" s="2765"/>
      <c r="D14" s="2766"/>
      <c r="E14" s="2766"/>
      <c r="F14" s="2767"/>
      <c r="G14" s="2768" t="s">
        <v>2876</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7"/>
      <c r="B15" s="2772" t="s">
        <v>2877</v>
      </c>
      <c r="C15" s="228">
        <f>IF(C14="有",1.1,1)</f>
        <v>1</v>
      </c>
      <c r="D15" s="228">
        <f>IF(D14="有",1.1,1)</f>
        <v>1</v>
      </c>
      <c r="E15" s="228">
        <f>IF(E14="有",1.1,1)</f>
        <v>1</v>
      </c>
      <c r="F15" s="228">
        <f>IF(F14="500米范围内",1.2,IF(F14="500-1000米",1.1,1))</f>
        <v>1</v>
      </c>
      <c r="G15" s="944">
        <v>1</v>
      </c>
      <c r="H15" s="944">
        <v>1</v>
      </c>
      <c r="I15" s="944">
        <v>1</v>
      </c>
      <c r="J15" s="945">
        <v>1</v>
      </c>
      <c r="K15" s="1368"/>
      <c r="L15" s="2773" t="s">
        <v>2813</v>
      </c>
      <c r="M15" s="915" t="s">
        <v>2878</v>
      </c>
      <c r="N15" s="915" t="s">
        <v>2879</v>
      </c>
      <c r="O15" s="915" t="s">
        <v>2880</v>
      </c>
      <c r="P15" s="2774" t="s">
        <v>2881</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08" t="s">
        <v>2882</v>
      </c>
      <c r="B16" s="2741" t="s">
        <v>2883</v>
      </c>
      <c r="C16" s="1799" t="e">
        <f>ROUND(SUM(G17:J17)/C17,0)</f>
        <v>#DIV/0!</v>
      </c>
      <c r="D16" s="2775" t="s">
        <v>2884</v>
      </c>
      <c r="E16" s="2776"/>
      <c r="F16" s="2777"/>
      <c r="G16" s="2778"/>
      <c r="H16" s="2778"/>
      <c r="I16" s="2778"/>
      <c r="J16" s="2779"/>
      <c r="K16" s="1368"/>
      <c r="L16" s="2780" t="s">
        <v>2885</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9"/>
      <c r="B17" s="2781" t="s">
        <v>2886</v>
      </c>
      <c r="C17" s="919">
        <f>SUMPRODUCT((修正!A2:A5=E2)*(修正!B1:M1=G2)*(修正!B2:M5))</f>
        <v>0</v>
      </c>
      <c r="D17" s="2782"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2889</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2890</v>
      </c>
      <c r="C18" s="921">
        <f>SUMIF(修正!C18:C39,E3,修正!E18:E39)</f>
        <v>0</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2891</v>
      </c>
      <c r="C19" s="922" t="e">
        <f>ROUND(IF(H19="按公示增长率计算",SUMPRODUCT((地价!A3:A21=YEAR(G19)&amp;"-"&amp;ROUNDUP(MONTH(G19)/3,0))*(地价!X2:AB2=E2)*(地价!X3:AB21)),IF(H19="地价指数",M20/M19,(1+I19)^O19)),4)</f>
        <v>#DIV/0!</v>
      </c>
      <c r="D19" s="2793" t="s">
        <v>2892</v>
      </c>
      <c r="E19" s="923">
        <v>41640</v>
      </c>
      <c r="F19" s="2793" t="s">
        <v>2893</v>
      </c>
      <c r="G19" s="924">
        <f>'数据-取费表'!B2</f>
        <v>43185</v>
      </c>
      <c r="H19" s="2794" t="s">
        <v>2894</v>
      </c>
      <c r="I19" s="925" t="str">
        <f>IF(H19="季度增幅（自定义）",SUMIF(N21:N24,E2,O21:O24),"")</f>
        <v/>
      </c>
      <c r="J19" s="2791"/>
      <c r="K19" s="1375"/>
      <c r="L19" s="2795" t="s">
        <v>2895</v>
      </c>
      <c r="M19" s="1732">
        <f>ROUND(SUMIF(地价!B2:F2,E2,地价!B21:F21),0)</f>
        <v>0</v>
      </c>
      <c r="N19" s="2796" t="s">
        <v>2896</v>
      </c>
      <c r="O19" s="926">
        <f>ROUNDDOWN(DATEDIF(E19,G19,"M")/3,0)</f>
        <v>16</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2897</v>
      </c>
      <c r="C20" s="927" t="e">
        <f>ROUND(POWER(1+G20,J20-I20)*(POWER(1+G20,I20)-1)/(POWER(1+G20,J20)-1),4)</f>
        <v>#DIV/0!</v>
      </c>
      <c r="D20" s="2802" t="s">
        <v>2898</v>
      </c>
      <c r="E20" s="1766">
        <f ca="1">存贷款利率!D4/100</f>
        <v>4.3499999999999997E-2</v>
      </c>
      <c r="F20" s="2802" t="s">
        <v>2889</v>
      </c>
      <c r="G20" s="932">
        <f>SUMIF(M15:P15,E2,M17:P17)</f>
        <v>0</v>
      </c>
      <c r="H20" s="2802" t="s">
        <v>2899</v>
      </c>
      <c r="I20" s="933" t="e">
        <f>SUMIF('数据-取费表'!C6:C15,E2,'数据-取费表'!F6:F15)/COUNTIF('数据-取费表'!C6:C15,E2)</f>
        <v>#DIV/0!</v>
      </c>
      <c r="J20" s="934">
        <f>IF(E2="住宅",70,IF(E2="商业",40,50))</f>
        <v>50</v>
      </c>
      <c r="K20" s="1375"/>
      <c r="L20" s="2803" t="s">
        <v>2900</v>
      </c>
      <c r="M20" s="1733">
        <f>ROUND(SUMPRODUCT((地价!A4:A21=YEAR(G19)&amp;"-"&amp;ROUNDUP(MONTH(G19)/3,0))*(地价!B2:F2=E2)*(地价!B4:F21)),0)</f>
        <v>0</v>
      </c>
      <c r="N20" s="2804" t="s">
        <v>2901</v>
      </c>
      <c r="O20" s="2805" t="s">
        <v>2902</v>
      </c>
      <c r="P20" s="2806" t="s">
        <v>2903</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2904</v>
      </c>
      <c r="C21" s="935">
        <f>IF(B21="容积率修正",IF(G3&lt;=10,D22,J22),C23)</f>
        <v>0</v>
      </c>
      <c r="D21" s="2809"/>
      <c r="E21" s="2809"/>
      <c r="F21" s="2809"/>
      <c r="G21" s="2809"/>
      <c r="H21" s="2809"/>
      <c r="I21" s="2809"/>
      <c r="J21" s="2810"/>
      <c r="K21" s="1375"/>
      <c r="N21" s="2811" t="s">
        <v>2905</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0</v>
      </c>
      <c r="E22" s="911">
        <f>ROUNDDOWN(G3,1)</f>
        <v>3.5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3.6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1" t="s">
        <v>2909</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0</v>
      </c>
      <c r="D23" s="2769"/>
      <c r="E23" s="2769"/>
      <c r="F23" s="2814"/>
      <c r="G23" s="2815"/>
      <c r="H23" s="2816"/>
      <c r="I23" s="2817"/>
      <c r="J23" s="2818"/>
      <c r="K23" s="1368"/>
      <c r="N23" s="2811" t="s">
        <v>2912</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0</v>
      </c>
      <c r="D24" s="2789"/>
      <c r="E24" s="2819"/>
      <c r="F24" s="2819"/>
      <c r="G24" s="2819"/>
      <c r="H24" s="2819"/>
      <c r="I24" s="2819"/>
      <c r="J24" s="2820"/>
      <c r="K24" s="1375"/>
      <c r="N24" s="2821" t="s">
        <v>2914</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5"/>
      <c r="B26" s="2812" t="s">
        <v>2917</v>
      </c>
      <c r="C26" s="205" t="e">
        <f>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ROUND(C5*C18*C19*C20*C21*C24,0)</f>
        <v>#DIV/0!</v>
      </c>
      <c r="D29" s="2841"/>
      <c r="E29" s="940" t="e">
        <f>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ROUND(IF(E2="工业",C29*M39,C29*M38),0)</f>
        <v>#DIV/0!</v>
      </c>
      <c r="D30" s="2847"/>
      <c r="E30" s="940" t="e">
        <f>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499" t="s">
        <v>2920</v>
      </c>
      <c r="D32" s="496" t="s">
        <v>2921</v>
      </c>
      <c r="E32" s="496"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316" t="s">
        <v>2931</v>
      </c>
      <c r="B33" s="2857" t="s">
        <v>2932</v>
      </c>
      <c r="C33" s="205" t="e">
        <f>ROUND(D5*C19*C20*C24*F33,0)</f>
        <v>#DIV/0!</v>
      </c>
      <c r="D33" s="2841"/>
      <c r="E33" s="199" t="e">
        <f>ROUND(C33*D33/10000,0)</f>
        <v>#DIV/0!</v>
      </c>
      <c r="F33" s="199">
        <f>SUMIF(修正!A45:A56,G2,修正!B45:B56)</f>
        <v>0</v>
      </c>
      <c r="G33" s="199" t="e">
        <f t="shared" ref="G33:G39" si="6">ROUND(IF(E2="工业",C33*$M$39,C33*$M$38),0)</f>
        <v>#DIV/0!</v>
      </c>
      <c r="H33" s="199">
        <f>D33</f>
        <v>0</v>
      </c>
      <c r="I33" s="199" t="e">
        <f>ROUND(G33*H33/10000,0)</f>
        <v>#DIV/0!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7"/>
      <c r="B34" s="2761" t="s">
        <v>2933</v>
      </c>
      <c r="C34" s="205" t="e">
        <f>ROUND(D5*C19*C20*C24*F34,0)</f>
        <v>#DIV/0!</v>
      </c>
      <c r="D34" s="2841"/>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7"/>
      <c r="B35" s="2761" t="s">
        <v>2934</v>
      </c>
      <c r="C35" s="205" t="e">
        <f>ROUND(D5*C19*C20*C24*F35,0)</f>
        <v>#DIV/0!</v>
      </c>
      <c r="D35" s="2841"/>
      <c r="E35" s="199" t="e">
        <f t="shared" si="7"/>
        <v>#DIV/0!</v>
      </c>
      <c r="F35" s="199">
        <f>SUMIF(修正!A45:A56,G2,修正!D45:D56)</f>
        <v>0</v>
      </c>
      <c r="G35" s="199" t="e">
        <f t="shared" si="6"/>
        <v>#DIV/0!</v>
      </c>
      <c r="H35" s="199">
        <f t="shared" si="8"/>
        <v>0</v>
      </c>
      <c r="I35" s="199" t="e">
        <f t="shared" si="9"/>
        <v>#DIV/0!</v>
      </c>
      <c r="J35" s="2858"/>
      <c r="K35" s="1368"/>
      <c r="L35" s="1368"/>
      <c r="M35" s="1368"/>
      <c r="N35" s="1368"/>
      <c r="O35" s="1368"/>
      <c r="P35" s="1368"/>
      <c r="Q35" s="1368"/>
      <c r="R35" s="1368"/>
      <c r="S35" s="1368"/>
      <c r="T35" s="1368"/>
      <c r="U35" s="1368"/>
      <c r="V35" s="1368"/>
      <c r="W35" s="1368"/>
      <c r="X35" s="1368"/>
      <c r="Y35" s="1368"/>
      <c r="Z35" s="1369"/>
    </row>
    <row r="36" spans="1:37" ht="13.5" thickBot="1">
      <c r="A36" s="3318"/>
      <c r="B36" s="2761" t="s">
        <v>2935</v>
      </c>
      <c r="C36" s="205" t="e">
        <f>ROUND(D5*C19*C20*C24*F36,0)</f>
        <v>#DIV/0!</v>
      </c>
      <c r="D36" s="2841"/>
      <c r="E36" s="199" t="e">
        <f t="shared" si="7"/>
        <v>#DIV/0!</v>
      </c>
      <c r="F36" s="199">
        <f>SUMIF(修正!A45:A56,G2,修正!E45:E56)</f>
        <v>0</v>
      </c>
      <c r="G36" s="199" t="e">
        <f t="shared" si="6"/>
        <v>#DIV/0!</v>
      </c>
      <c r="H36" s="199">
        <f t="shared" si="8"/>
        <v>0</v>
      </c>
      <c r="I36" s="199" t="e">
        <f t="shared" si="9"/>
        <v>#DIV/0!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ROUND(C5*C19*C20*C24*F37,0)</f>
        <v>#DIV/0!</v>
      </c>
      <c r="D37" s="2841"/>
      <c r="E37" s="199" t="e">
        <f t="shared" si="7"/>
        <v>#DIV/0!</v>
      </c>
      <c r="F37" s="205">
        <f>SUMIF(修正!A45:A56,G2,修正!F45:F56)</f>
        <v>0</v>
      </c>
      <c r="G37" s="199" t="e">
        <f t="shared" si="6"/>
        <v>#DIV/0!</v>
      </c>
      <c r="H37" s="199">
        <f t="shared" si="8"/>
        <v>0</v>
      </c>
      <c r="I37" s="199" t="e">
        <f t="shared"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ROUND(C5*C19*C20*C24*F38,0)</f>
        <v>#DIV/0!</v>
      </c>
      <c r="D38" s="2841"/>
      <c r="E38" s="199" t="e">
        <f t="shared" si="7"/>
        <v>#DIV/0!</v>
      </c>
      <c r="F38" s="205">
        <f>SUMIF(修正!A45:A56,G2,修正!G45:G56)</f>
        <v>0</v>
      </c>
      <c r="G38" s="199" t="e">
        <f t="shared" si="6"/>
        <v>#DIV/0!</v>
      </c>
      <c r="H38" s="199">
        <f t="shared" si="8"/>
        <v>0</v>
      </c>
      <c r="I38" s="199" t="e">
        <f t="shared"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ROUND(C5*C19*C20*C24*F39,0)</f>
        <v>#DIV/0!</v>
      </c>
      <c r="D39" s="2847"/>
      <c r="E39" s="228" t="e">
        <f t="shared" si="7"/>
        <v>#DIV/0!</v>
      </c>
      <c r="F39" s="930">
        <f>SUMIF(修正!A45:A56,G2,修正!H45:H56)</f>
        <v>0</v>
      </c>
      <c r="G39" s="228" t="e">
        <f t="shared" si="6"/>
        <v>#DIV/0!</v>
      </c>
      <c r="H39" s="228">
        <f t="shared" si="8"/>
        <v>0</v>
      </c>
      <c r="I39" s="228" t="e">
        <f t="shared" si="9"/>
        <v>#DIV/0!</v>
      </c>
      <c r="J39" s="2864"/>
      <c r="K39" s="1368"/>
      <c r="L39" s="2865" t="s">
        <v>2881</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1" t="s">
        <v>2597</v>
      </c>
      <c r="K47" s="601" t="s">
        <v>2598</v>
      </c>
      <c r="L47" s="601" t="s">
        <v>2599</v>
      </c>
      <c r="M47" s="601" t="s">
        <v>2600</v>
      </c>
      <c r="N47" s="601" t="s">
        <v>2601</v>
      </c>
      <c r="AA47" s="1369"/>
      <c r="AB47" s="1369"/>
      <c r="AC47" s="1369"/>
      <c r="AD47" s="1369"/>
      <c r="AE47" s="1369"/>
      <c r="AF47" s="1369"/>
      <c r="AG47" s="1369"/>
      <c r="AH47" s="1369"/>
      <c r="AI47" s="1369"/>
      <c r="AJ47" s="1369"/>
      <c r="AK47" s="1369"/>
    </row>
    <row r="48" spans="1:37" s="1368" customFormat="1" ht="38.25">
      <c r="A48" s="2874" t="s">
        <v>2951</v>
      </c>
      <c r="B48" s="2877" t="str">
        <f>估价对象房地状况!C4</f>
        <v>估价对象位于XX商圈，周边商业氛围成熟，人流量大，商业繁华度好</v>
      </c>
      <c r="C48" s="2766"/>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2952</v>
      </c>
      <c r="B49" s="2878" t="str">
        <f>估价对象房地状况!C18</f>
        <v>估价对象周边道路状况、公共交通通达情况、停车便捷程度，综合评价交通便捷度较好</v>
      </c>
      <c r="C49" s="2766"/>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f>估价对象房地状况!C24</f>
        <v>0</v>
      </c>
      <c r="C52" s="2766"/>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2959</v>
      </c>
      <c r="B54" s="1723" t="str">
        <f>估价对象房地状况!C21</f>
        <v>估价对象所在区域公共配套设施齐备情况</v>
      </c>
      <c r="C54" s="2766"/>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v>
      </c>
      <c r="C55" s="2766"/>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2961</v>
      </c>
      <c r="B56" s="2883" t="str">
        <f>估价对象房地状况!C20</f>
        <v>区域自然环境：；人文环境；综合评价环境状况一般</v>
      </c>
      <c r="C56" s="2766"/>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1" t="s">
        <v>2597</v>
      </c>
      <c r="K58" s="601" t="s">
        <v>2598</v>
      </c>
      <c r="L58" s="601" t="s">
        <v>2599</v>
      </c>
      <c r="M58" s="601" t="s">
        <v>2600</v>
      </c>
      <c r="N58" s="601" t="s">
        <v>2601</v>
      </c>
      <c r="AA58" s="1369"/>
      <c r="AB58" s="1369"/>
      <c r="AC58" s="1369"/>
      <c r="AD58" s="1369"/>
      <c r="AE58" s="1369"/>
      <c r="AF58" s="1369"/>
      <c r="AG58" s="1369"/>
      <c r="AH58" s="1369"/>
      <c r="AI58" s="1369"/>
      <c r="AJ58" s="1369"/>
      <c r="AK58" s="1369"/>
    </row>
    <row r="59" spans="1:37" s="1368" customFormat="1" ht="38.25">
      <c r="A59" s="2874" t="s">
        <v>2964</v>
      </c>
      <c r="B59" s="2877" t="str">
        <f>估价对象房地状况!C17</f>
        <v>估价对象位于XX商圈，周边办公楼项目较多，入驻率高，办公集聚程度较好</v>
      </c>
      <c r="C59" s="2766"/>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2952</v>
      </c>
      <c r="B60" s="2878" t="str">
        <f>估价对象房地状况!C18</f>
        <v>估价对象周边道路状况、公共交通通达情况、停车便捷程度，综合评价交通便捷度较好</v>
      </c>
      <c r="C60" s="2766"/>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f>估价对象房地状况!C24</f>
        <v>0</v>
      </c>
      <c r="C63" s="2766"/>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2959</v>
      </c>
      <c r="B65" s="1723" t="str">
        <f>估价对象房地状况!C21</f>
        <v>估价对象所在区域公共配套设施齐备情况</v>
      </c>
      <c r="C65" s="2766"/>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v>
      </c>
      <c r="C66" s="2766"/>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2961</v>
      </c>
      <c r="B67" s="2884" t="str">
        <f>估价对象房地状况!C20</f>
        <v>区域自然环境：；人文环境；综合评价环境状况一般</v>
      </c>
      <c r="C67" s="2766"/>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1" t="s">
        <v>2597</v>
      </c>
      <c r="K69" s="601" t="s">
        <v>2598</v>
      </c>
      <c r="L69" s="601" t="s">
        <v>2599</v>
      </c>
      <c r="M69" s="601" t="s">
        <v>2600</v>
      </c>
      <c r="N69" s="601" t="s">
        <v>2601</v>
      </c>
      <c r="AA69" s="1369"/>
      <c r="AB69" s="1369"/>
      <c r="AC69" s="1369"/>
      <c r="AD69" s="1369"/>
      <c r="AE69" s="1369"/>
      <c r="AF69" s="1369"/>
      <c r="AG69" s="1369"/>
      <c r="AH69" s="1369"/>
      <c r="AI69" s="1369"/>
      <c r="AJ69" s="1369"/>
      <c r="AK69" s="1369"/>
    </row>
    <row r="70" spans="1:37" s="1368" customFormat="1" ht="51">
      <c r="A70" s="2874" t="s">
        <v>2966</v>
      </c>
      <c r="B70" s="2877" t="str">
        <f>估价对象房地状况!C15</f>
        <v>估价对象周边居住用地比例、居住小区规模和社区发展完善程度，综合评价居住社区成熟度一般</v>
      </c>
      <c r="C70" s="2766"/>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2952</v>
      </c>
      <c r="B71" s="2878" t="str">
        <f>估价对象房地状况!C18</f>
        <v>估价对象周边道路状况、公共交通通达情况、停车便捷程度，综合评价交通便捷度较好</v>
      </c>
      <c r="C71" s="2766"/>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f>估价对象房地状况!C24</f>
        <v>0</v>
      </c>
      <c r="C73" s="2766"/>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2959</v>
      </c>
      <c r="B74" s="1723" t="str">
        <f>估价对象房地状况!C21</f>
        <v>估价对象所在区域公共配套设施齐备情况</v>
      </c>
      <c r="C74" s="2766"/>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v>
      </c>
      <c r="C75" s="2766"/>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2961</v>
      </c>
      <c r="B77" s="2877" t="str">
        <f>估价对象房地状况!C20</f>
        <v>区域自然环境：；人文环境；综合评价环境状况一般</v>
      </c>
      <c r="C77" s="2766"/>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1" t="s">
        <v>2597</v>
      </c>
      <c r="K80" s="601" t="s">
        <v>2598</v>
      </c>
      <c r="L80" s="601" t="s">
        <v>2599</v>
      </c>
      <c r="M80" s="601" t="s">
        <v>2600</v>
      </c>
      <c r="N80" s="601"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310" t="s">
        <v>2973</v>
      </c>
      <c r="B90" s="3310"/>
      <c r="C90" s="3310"/>
      <c r="D90" s="3310"/>
      <c r="E90" s="3310"/>
      <c r="F90" s="3310"/>
      <c r="G90" s="3310"/>
      <c r="H90" s="3310"/>
      <c r="I90" s="3310"/>
      <c r="J90" s="3310"/>
      <c r="K90" s="2888"/>
      <c r="L90" s="2888"/>
      <c r="M90" s="2888"/>
      <c r="N90" s="2888"/>
    </row>
    <row r="91" spans="1:37">
      <c r="A91" s="3312" t="s">
        <v>2974</v>
      </c>
      <c r="B91" s="3312" t="s">
        <v>2975</v>
      </c>
      <c r="C91" s="2842" t="s">
        <v>2976</v>
      </c>
      <c r="D91" s="2843"/>
      <c r="E91" s="2843"/>
      <c r="F91" s="2843"/>
      <c r="G91" s="2843"/>
      <c r="H91" s="2843"/>
      <c r="I91" s="2843"/>
      <c r="J91" s="2889"/>
      <c r="K91" s="2890"/>
      <c r="L91" s="2890"/>
      <c r="M91" s="2890"/>
      <c r="N91" s="2890"/>
    </row>
    <row r="92" spans="1:37">
      <c r="A92" s="3312"/>
      <c r="B92" s="3312"/>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313"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1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1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1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1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1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14"/>
      <c r="B99" s="2891" t="s">
        <v>2856</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1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13" t="s">
        <v>2978</v>
      </c>
      <c r="B101" s="2895" t="s">
        <v>2979</v>
      </c>
      <c r="C101" s="2896">
        <f>$G$3</f>
        <v>3.57</v>
      </c>
      <c r="D101" s="2896">
        <f t="shared" ref="D101:N101" si="31">$G$3</f>
        <v>3.57</v>
      </c>
      <c r="E101" s="2896">
        <f t="shared" si="31"/>
        <v>3.57</v>
      </c>
      <c r="F101" s="2896">
        <f t="shared" si="31"/>
        <v>3.57</v>
      </c>
      <c r="G101" s="2896">
        <f t="shared" si="31"/>
        <v>3.57</v>
      </c>
      <c r="H101" s="2896">
        <f t="shared" si="31"/>
        <v>3.57</v>
      </c>
      <c r="I101" s="2896">
        <f t="shared" si="31"/>
        <v>3.57</v>
      </c>
      <c r="J101" s="2896">
        <f t="shared" si="31"/>
        <v>3.57</v>
      </c>
      <c r="K101" s="2896">
        <f t="shared" si="31"/>
        <v>3.57</v>
      </c>
      <c r="L101" s="2896">
        <f t="shared" si="31"/>
        <v>3.57</v>
      </c>
      <c r="M101" s="2896">
        <f t="shared" si="31"/>
        <v>3.57</v>
      </c>
      <c r="N101" s="2896">
        <f t="shared" si="31"/>
        <v>3.57</v>
      </c>
    </row>
    <row r="102" spans="1:14">
      <c r="A102" s="3314"/>
      <c r="B102" s="2891">
        <v>1</v>
      </c>
      <c r="C102" s="2892">
        <f>1.9362/C101</f>
        <v>0.54235294117647059</v>
      </c>
      <c r="D102" s="2892">
        <f>1.9362/D101</f>
        <v>0.54235294117647059</v>
      </c>
      <c r="E102" s="2892">
        <f>1.8629/E101</f>
        <v>0.52182072829131654</v>
      </c>
      <c r="F102" s="2892">
        <f>1.8629/F101</f>
        <v>0.52182072829131654</v>
      </c>
      <c r="G102" s="2892">
        <f>1.8629/G101</f>
        <v>0.52182072829131654</v>
      </c>
      <c r="H102" s="2892">
        <f>1.8629/H101</f>
        <v>0.52182072829131654</v>
      </c>
      <c r="I102" s="2892">
        <f>1.8629/I101</f>
        <v>0.52182072829131654</v>
      </c>
      <c r="J102" s="2892">
        <f>1.942/J101</f>
        <v>0.54397759103641452</v>
      </c>
      <c r="K102" s="2892">
        <f>1.942/K101</f>
        <v>0.54397759103641452</v>
      </c>
      <c r="L102" s="2892">
        <f>1.942/L101</f>
        <v>0.54397759103641452</v>
      </c>
      <c r="M102" s="2892">
        <f>1.942/M101</f>
        <v>0.54397759103641452</v>
      </c>
      <c r="N102" s="2892">
        <f>1.942/N101</f>
        <v>0.54397759103641452</v>
      </c>
    </row>
    <row r="103" spans="1:14">
      <c r="A103" s="3314"/>
      <c r="B103" s="2891">
        <v>2</v>
      </c>
      <c r="C103" s="2892">
        <f>1.4198/C101</f>
        <v>0.39770308123249298</v>
      </c>
      <c r="D103" s="2892">
        <f>1.4198/D101</f>
        <v>0.39770308123249298</v>
      </c>
      <c r="E103" s="2892">
        <f>1.3372/E101</f>
        <v>0.3745658263305322</v>
      </c>
      <c r="F103" s="2892">
        <f>1.3372/F101</f>
        <v>0.3745658263305322</v>
      </c>
      <c r="G103" s="2892">
        <f>1.3372/G101</f>
        <v>0.3745658263305322</v>
      </c>
      <c r="H103" s="2892">
        <f>1.3372/H101</f>
        <v>0.3745658263305322</v>
      </c>
      <c r="I103" s="2892">
        <f>1.3372/I101</f>
        <v>0.3745658263305322</v>
      </c>
      <c r="J103" s="2892">
        <f>1.2799/J101</f>
        <v>0.35851540616246502</v>
      </c>
      <c r="K103" s="2892">
        <f>1.2799/K101</f>
        <v>0.35851540616246502</v>
      </c>
      <c r="L103" s="2892">
        <f>1.2799/L101</f>
        <v>0.35851540616246502</v>
      </c>
      <c r="M103" s="2892">
        <f>1.2799/M101</f>
        <v>0.35851540616246502</v>
      </c>
      <c r="N103" s="2892">
        <f>1.2799/N101</f>
        <v>0.35851540616246502</v>
      </c>
    </row>
    <row r="104" spans="1:14">
      <c r="A104" s="3314"/>
      <c r="B104" s="2891">
        <v>3</v>
      </c>
      <c r="C104" s="2892">
        <f>1.1594/C101</f>
        <v>0.32476190476190475</v>
      </c>
      <c r="D104" s="2892">
        <f>1.1594/D101</f>
        <v>0.32476190476190475</v>
      </c>
      <c r="E104" s="2892">
        <f>1.0788/E101</f>
        <v>0.30218487394957982</v>
      </c>
      <c r="F104" s="2892">
        <f>1.0788/F101</f>
        <v>0.30218487394957982</v>
      </c>
      <c r="G104" s="2892">
        <f>1.0788/G101</f>
        <v>0.30218487394957982</v>
      </c>
      <c r="H104" s="2892">
        <f>1.0788/H101</f>
        <v>0.30218487394957982</v>
      </c>
      <c r="I104" s="2892">
        <f>1.0788/I101</f>
        <v>0.30218487394957982</v>
      </c>
      <c r="J104" s="2892">
        <f>1.0072/J101</f>
        <v>0.28212885154061629</v>
      </c>
      <c r="K104" s="2892">
        <f>1.0072/K101</f>
        <v>0.28212885154061629</v>
      </c>
      <c r="L104" s="2892">
        <f>1.0072/L101</f>
        <v>0.28212885154061629</v>
      </c>
      <c r="M104" s="2892">
        <f>1.0072/M101</f>
        <v>0.28212885154061629</v>
      </c>
      <c r="N104" s="2892">
        <f>1.0072/N101</f>
        <v>0.28212885154061629</v>
      </c>
    </row>
    <row r="105" spans="1:14">
      <c r="A105" s="3314"/>
      <c r="B105" s="2891">
        <v>4</v>
      </c>
      <c r="C105" s="2892">
        <f>0.9622/C101</f>
        <v>0.26952380952380955</v>
      </c>
      <c r="D105" s="2892">
        <f>0.9622/D101</f>
        <v>0.26952380952380955</v>
      </c>
      <c r="E105" s="2892">
        <f>0.8656/E101</f>
        <v>0.24246498599439778</v>
      </c>
      <c r="F105" s="2892">
        <f>0.8656/F101</f>
        <v>0.24246498599439778</v>
      </c>
      <c r="G105" s="2892">
        <f>0.8656/G101</f>
        <v>0.24246498599439778</v>
      </c>
      <c r="H105" s="2892">
        <f>0.8656/H101</f>
        <v>0.24246498599439778</v>
      </c>
      <c r="I105" s="2892">
        <f>0.8656/I101</f>
        <v>0.24246498599439778</v>
      </c>
      <c r="J105" s="2892">
        <f>0.7525/J101</f>
        <v>0.2107843137254902</v>
      </c>
      <c r="K105" s="2892">
        <f>0.7525/K101</f>
        <v>0.2107843137254902</v>
      </c>
      <c r="L105" s="2892">
        <f>0.7525/L101</f>
        <v>0.2107843137254902</v>
      </c>
      <c r="M105" s="2892">
        <f>0.7525/M101</f>
        <v>0.2107843137254902</v>
      </c>
      <c r="N105" s="2892">
        <f>0.7525/N101</f>
        <v>0.2107843137254902</v>
      </c>
    </row>
    <row r="106" spans="1:14">
      <c r="A106" s="3314"/>
      <c r="B106" s="2891">
        <v>5</v>
      </c>
      <c r="C106" s="2892">
        <f>0.8417/C101</f>
        <v>0.23577030812324931</v>
      </c>
      <c r="D106" s="2892">
        <f>0.8417/D101</f>
        <v>0.23577030812324931</v>
      </c>
      <c r="E106" s="2892">
        <f>0.7371/E101</f>
        <v>0.20647058823529413</v>
      </c>
      <c r="F106" s="2892">
        <f>0.7371/F101</f>
        <v>0.20647058823529413</v>
      </c>
      <c r="G106" s="2892">
        <f>0.7371/G101</f>
        <v>0.20647058823529413</v>
      </c>
      <c r="H106" s="2892">
        <f>0.7371/H101</f>
        <v>0.20647058823529413</v>
      </c>
      <c r="I106" s="2892">
        <f>0.7371/I101</f>
        <v>0.20647058823529413</v>
      </c>
      <c r="J106" s="2892">
        <f>0.5659/J101</f>
        <v>0.15851540616246498</v>
      </c>
      <c r="K106" s="2892">
        <f>0.5659/K101</f>
        <v>0.15851540616246498</v>
      </c>
      <c r="L106" s="2892">
        <f>0.5659/L101</f>
        <v>0.15851540616246498</v>
      </c>
      <c r="M106" s="2892">
        <f>0.5659/M101</f>
        <v>0.15851540616246498</v>
      </c>
      <c r="N106" s="2892">
        <f>0.5659/N101</f>
        <v>0.15851540616246498</v>
      </c>
    </row>
    <row r="107" spans="1:14">
      <c r="A107" s="3314"/>
      <c r="B107" s="2891">
        <v>6</v>
      </c>
      <c r="C107" s="2892">
        <f>0.7608/C101</f>
        <v>0.21310924369747902</v>
      </c>
      <c r="D107" s="2892">
        <f>0.7608/D101</f>
        <v>0.21310924369747902</v>
      </c>
      <c r="E107" s="2892">
        <f>0.6482/E101</f>
        <v>0.1815686274509804</v>
      </c>
      <c r="F107" s="2892">
        <f>0.6482/F101</f>
        <v>0.1815686274509804</v>
      </c>
      <c r="G107" s="2892">
        <f>0.6482/G101</f>
        <v>0.1815686274509804</v>
      </c>
      <c r="H107" s="2892">
        <f>0.6482/H101</f>
        <v>0.1815686274509804</v>
      </c>
      <c r="I107" s="2892">
        <f>0.6482/I101</f>
        <v>0.1815686274509804</v>
      </c>
      <c r="J107" s="2892">
        <f>0.4525/J101</f>
        <v>0.12675070028011207</v>
      </c>
      <c r="K107" s="2892">
        <f>0.4525/K101</f>
        <v>0.12675070028011207</v>
      </c>
      <c r="L107" s="2892">
        <f>0.4525/L101</f>
        <v>0.12675070028011207</v>
      </c>
      <c r="M107" s="2892">
        <f>0.4525/M101</f>
        <v>0.12675070028011207</v>
      </c>
      <c r="N107" s="2892">
        <f>0.4525/N101</f>
        <v>0.12675070028011207</v>
      </c>
    </row>
    <row r="108" spans="1:14">
      <c r="A108" s="3314"/>
      <c r="B108" s="3136"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15"/>
      <c r="B109" s="3137"/>
      <c r="C109" s="2894">
        <f>(-0.163*(C108^2)-0.59*C108+7617)*(10^(-4))/C101</f>
        <v>0.21336134453781513</v>
      </c>
      <c r="D109" s="2894">
        <f>(-0.163*(D108^2)-0.59*D108+7617)*(10^(-4))/D101</f>
        <v>0.21336134453781513</v>
      </c>
      <c r="E109" s="2894">
        <f>(-0.161*(E108^2)-7.509*E108+6533)*(10^(-4))/E101</f>
        <v>0.18299719887955182</v>
      </c>
      <c r="F109" s="2894">
        <f>(-0.161*(F108^2)-7.509*F108+6533)*(10^(-4))/F101</f>
        <v>0.18299719887955182</v>
      </c>
      <c r="G109" s="2894">
        <f>(-0.161*(G108^2)-7.509*G108+6533)*(10^(-4))/G101</f>
        <v>0.18299719887955182</v>
      </c>
      <c r="H109" s="2894">
        <f>(-0.161*(H108^2)-7.509*H108+6533)*(10^(-4))/H101</f>
        <v>0.18299719887955182</v>
      </c>
      <c r="I109" s="2894">
        <f>(-0.161*(I108^2)-7.509*I108+6533)*(10^(-4))/I101</f>
        <v>0.18299719887955182</v>
      </c>
      <c r="J109" s="2894">
        <f>(-0.214*(J108^2)-21.991*J108+4665)*(10^(-4))/J101</f>
        <v>0.13067226890756303</v>
      </c>
      <c r="K109" s="2894">
        <f>(-0.214*(K108^2)-21.991*K108+4665)*(10^(-4))/K101</f>
        <v>0.13067226890756303</v>
      </c>
      <c r="L109" s="2894">
        <f>(-0.214*(L108^2)-21.991*L108+4665)*(10^(-4))/L101</f>
        <v>0.13067226890756303</v>
      </c>
      <c r="M109" s="2894">
        <f>(-0.214*(M108^2)-21.991*M108+4665)*(10^(-4))/M101</f>
        <v>0.13067226890756303</v>
      </c>
      <c r="N109" s="2894">
        <f>(-0.214*(N108^2)-21.991*N108+4665)*(10^(-4))/N101</f>
        <v>0.13067226890756303</v>
      </c>
    </row>
    <row r="110" spans="1:14">
      <c r="A110" s="3311" t="s">
        <v>2981</v>
      </c>
      <c r="B110" s="3311"/>
      <c r="C110" s="3311"/>
      <c r="D110" s="3311"/>
      <c r="E110" s="3311"/>
      <c r="F110" s="3311"/>
      <c r="G110" s="3311"/>
      <c r="H110" s="3311"/>
      <c r="I110" s="3311"/>
      <c r="J110" s="3311"/>
      <c r="K110" s="2897"/>
      <c r="L110" s="2897"/>
      <c r="M110" s="2897"/>
      <c r="N110" s="2897"/>
    </row>
    <row r="112" spans="1:14" ht="13.5" thickBot="1"/>
    <row r="113" spans="1:13" ht="25.5" thickBot="1">
      <c r="A113" s="898" t="s">
        <v>2982</v>
      </c>
      <c r="B113" s="1285">
        <f>G3</f>
        <v>3.57</v>
      </c>
      <c r="C113" s="899" t="s">
        <v>2983</v>
      </c>
      <c r="D113" s="900">
        <f>SUMPRODUCT((A115:A118=F113)*(B114:M114=H113)*B115:M118)</f>
        <v>0</v>
      </c>
      <c r="E113" s="2720" t="s">
        <v>2813</v>
      </c>
      <c r="F113" s="2899">
        <f>E2</f>
        <v>0</v>
      </c>
      <c r="G113" s="2720" t="s">
        <v>2814</v>
      </c>
      <c r="H113" s="2899">
        <f>G2</f>
        <v>0</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2878</v>
      </c>
      <c r="B115" s="905">
        <f>ROUND(0.9335-0.0094*B113,4)</f>
        <v>0.89990000000000003</v>
      </c>
      <c r="C115" s="905">
        <f>B115</f>
        <v>0.89990000000000003</v>
      </c>
      <c r="D115" s="905">
        <f>ROUND(0.8331-0.0109*B113,4)</f>
        <v>0.79420000000000002</v>
      </c>
      <c r="E115" s="905">
        <f>D115</f>
        <v>0.79420000000000002</v>
      </c>
      <c r="F115" s="905">
        <f>E115</f>
        <v>0.79420000000000002</v>
      </c>
      <c r="G115" s="905">
        <f>F115</f>
        <v>0.79420000000000002</v>
      </c>
      <c r="H115" s="905">
        <f>G115</f>
        <v>0.79420000000000002</v>
      </c>
      <c r="I115" s="905">
        <f>ROUND(0.689-0.0155*B113,4)</f>
        <v>0.63370000000000004</v>
      </c>
      <c r="J115" s="905">
        <f t="shared" ref="J115:M118" si="33">I115</f>
        <v>0.63370000000000004</v>
      </c>
      <c r="K115" s="905">
        <f t="shared" si="33"/>
        <v>0.63370000000000004</v>
      </c>
      <c r="L115" s="905">
        <f t="shared" si="33"/>
        <v>0.63370000000000004</v>
      </c>
      <c r="M115" s="906">
        <f t="shared" si="33"/>
        <v>0.63370000000000004</v>
      </c>
    </row>
    <row r="116" spans="1:13">
      <c r="A116" s="904" t="s">
        <v>2879</v>
      </c>
      <c r="B116" s="905">
        <f>ROUND(0.949-0.012*B113,4)</f>
        <v>0.90620000000000001</v>
      </c>
      <c r="C116" s="905">
        <f>B116</f>
        <v>0.90620000000000001</v>
      </c>
      <c r="D116" s="905">
        <f>ROUND(0.8567-0.013*B113,4)</f>
        <v>0.81030000000000002</v>
      </c>
      <c r="E116" s="905">
        <f t="shared" ref="E116:H117" si="34">D116</f>
        <v>0.81030000000000002</v>
      </c>
      <c r="F116" s="905">
        <f t="shared" si="34"/>
        <v>0.81030000000000002</v>
      </c>
      <c r="G116" s="905">
        <f t="shared" si="34"/>
        <v>0.81030000000000002</v>
      </c>
      <c r="H116" s="905">
        <f t="shared" si="34"/>
        <v>0.81030000000000002</v>
      </c>
      <c r="I116" s="905">
        <f>ROUND(0.7694-0.014*B113,4)</f>
        <v>0.71940000000000004</v>
      </c>
      <c r="J116" s="905">
        <f t="shared" si="33"/>
        <v>0.71940000000000004</v>
      </c>
      <c r="K116" s="905">
        <f t="shared" si="33"/>
        <v>0.71940000000000004</v>
      </c>
      <c r="L116" s="905">
        <f t="shared" si="33"/>
        <v>0.71940000000000004</v>
      </c>
      <c r="M116" s="906">
        <f t="shared" si="33"/>
        <v>0.71940000000000004</v>
      </c>
    </row>
    <row r="117" spans="1:13">
      <c r="A117" s="904" t="s">
        <v>2880</v>
      </c>
      <c r="B117" s="905">
        <f>ROUND(0.8808-0.006*B113,4)</f>
        <v>0.85940000000000005</v>
      </c>
      <c r="C117" s="905">
        <f>B117</f>
        <v>0.85940000000000005</v>
      </c>
      <c r="D117" s="905">
        <f>ROUND(0.8748-0.008*B113,4)</f>
        <v>0.84619999999999995</v>
      </c>
      <c r="E117" s="905">
        <f t="shared" si="34"/>
        <v>0.84619999999999995</v>
      </c>
      <c r="F117" s="905">
        <f t="shared" si="34"/>
        <v>0.84619999999999995</v>
      </c>
      <c r="G117" s="905">
        <f t="shared" si="34"/>
        <v>0.84619999999999995</v>
      </c>
      <c r="H117" s="905">
        <f t="shared" si="34"/>
        <v>0.84619999999999995</v>
      </c>
      <c r="I117" s="905">
        <f>ROUND(0.7412-0.0095*B113,4)</f>
        <v>0.70730000000000004</v>
      </c>
      <c r="J117" s="905">
        <f t="shared" si="33"/>
        <v>0.70730000000000004</v>
      </c>
      <c r="K117" s="905">
        <f t="shared" si="33"/>
        <v>0.70730000000000004</v>
      </c>
      <c r="L117" s="905">
        <f t="shared" si="33"/>
        <v>0.70730000000000004</v>
      </c>
      <c r="M117" s="906">
        <f t="shared" si="33"/>
        <v>0.70730000000000004</v>
      </c>
    </row>
    <row r="118" spans="1:13" ht="13.5" thickBot="1">
      <c r="A118" s="712" t="s">
        <v>2881</v>
      </c>
      <c r="B118" s="907">
        <f>ROUND(0.7275-0.01*B113,4)</f>
        <v>0.69179999999999997</v>
      </c>
      <c r="C118" s="907">
        <f>B118</f>
        <v>0.69179999999999997</v>
      </c>
      <c r="D118" s="907">
        <f>ROUND(0.7043-0.012*B113,4)</f>
        <v>0.66149999999999998</v>
      </c>
      <c r="E118" s="907">
        <f>D118</f>
        <v>0.66149999999999998</v>
      </c>
      <c r="F118" s="907">
        <f>E118</f>
        <v>0.66149999999999998</v>
      </c>
      <c r="G118" s="907">
        <f>ROUND(0.6299-0.0122*B113,4)</f>
        <v>0.58630000000000004</v>
      </c>
      <c r="H118" s="907">
        <f>G118</f>
        <v>0.58630000000000004</v>
      </c>
      <c r="I118" s="907">
        <f>ROUND(0.5667-0.0136*B113,4)</f>
        <v>0.5181</v>
      </c>
      <c r="J118" s="907">
        <f t="shared" si="33"/>
        <v>0.5181</v>
      </c>
      <c r="K118" s="907">
        <f t="shared" si="33"/>
        <v>0.5181</v>
      </c>
      <c r="L118" s="907">
        <f t="shared" si="33"/>
        <v>0.5181</v>
      </c>
      <c r="M118" s="908">
        <f t="shared" si="33"/>
        <v>0.5181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8" t="s">
        <v>183</v>
      </c>
      <c r="B18" s="877" t="s">
        <v>560</v>
      </c>
      <c r="C18" s="878" t="s">
        <v>561</v>
      </c>
      <c r="D18" s="879"/>
      <c r="E18" s="877">
        <v>1</v>
      </c>
      <c r="F18" s="880" t="s">
        <v>562</v>
      </c>
      <c r="G18" s="881"/>
      <c r="H18" s="873"/>
      <c r="I18" s="873"/>
    </row>
    <row r="19" spans="1:9" s="882" customFormat="1" ht="19.5" customHeight="1">
      <c r="A19" s="3328"/>
      <c r="B19" s="3328" t="s">
        <v>563</v>
      </c>
      <c r="C19" s="878" t="s">
        <v>564</v>
      </c>
      <c r="D19" s="879"/>
      <c r="E19" s="877">
        <v>0.9</v>
      </c>
      <c r="F19" s="880" t="s">
        <v>565</v>
      </c>
      <c r="G19" s="881"/>
      <c r="H19" s="873"/>
      <c r="I19" s="873"/>
    </row>
    <row r="20" spans="1:9" s="882" customFormat="1" ht="19.5" customHeight="1">
      <c r="A20" s="3328"/>
      <c r="B20" s="3328"/>
      <c r="C20" s="878" t="s">
        <v>566</v>
      </c>
      <c r="D20" s="879"/>
      <c r="E20" s="877">
        <v>1.1000000000000001</v>
      </c>
      <c r="F20" s="880" t="s">
        <v>567</v>
      </c>
      <c r="G20" s="881"/>
      <c r="H20" s="873"/>
      <c r="I20" s="873"/>
    </row>
    <row r="21" spans="1:9" s="882" customFormat="1" ht="19.5" customHeight="1">
      <c r="A21" s="3328"/>
      <c r="B21" s="3328"/>
      <c r="C21" s="878" t="s">
        <v>568</v>
      </c>
      <c r="D21" s="879"/>
      <c r="E21" s="877">
        <v>0.8</v>
      </c>
      <c r="F21" s="880" t="s">
        <v>569</v>
      </c>
      <c r="G21" s="881"/>
      <c r="H21" s="873"/>
      <c r="I21" s="873"/>
    </row>
    <row r="22" spans="1:9" s="882" customFormat="1" ht="19.5" customHeight="1">
      <c r="A22" s="3328"/>
      <c r="B22" s="3328"/>
      <c r="C22" s="878" t="s">
        <v>570</v>
      </c>
      <c r="D22" s="879"/>
      <c r="E22" s="877">
        <v>0.5</v>
      </c>
      <c r="F22" s="880"/>
      <c r="G22" s="881"/>
      <c r="H22" s="873"/>
      <c r="I22" s="873"/>
    </row>
    <row r="23" spans="1:9" s="882" customFormat="1" ht="19.5" customHeight="1">
      <c r="A23" s="3328" t="s">
        <v>184</v>
      </c>
      <c r="B23" s="877" t="s">
        <v>560</v>
      </c>
      <c r="C23" s="878" t="s">
        <v>571</v>
      </c>
      <c r="D23" s="879"/>
      <c r="E23" s="877">
        <v>1</v>
      </c>
      <c r="F23" s="880" t="s">
        <v>572</v>
      </c>
      <c r="G23" s="881"/>
      <c r="H23" s="873"/>
      <c r="I23" s="873"/>
    </row>
    <row r="24" spans="1:9" s="882" customFormat="1" ht="19.5" customHeight="1">
      <c r="A24" s="3328"/>
      <c r="B24" s="3328" t="s">
        <v>563</v>
      </c>
      <c r="C24" s="878" t="s">
        <v>573</v>
      </c>
      <c r="D24" s="879"/>
      <c r="E24" s="877">
        <v>0.5</v>
      </c>
      <c r="F24" s="880"/>
      <c r="G24" s="881"/>
      <c r="H24" s="873"/>
      <c r="I24" s="873"/>
    </row>
    <row r="25" spans="1:9" s="882" customFormat="1" ht="19.5" customHeight="1">
      <c r="A25" s="3328"/>
      <c r="B25" s="3328"/>
      <c r="C25" s="878" t="s">
        <v>574</v>
      </c>
      <c r="D25" s="879"/>
      <c r="E25" s="877">
        <v>1.1000000000000001</v>
      </c>
      <c r="F25" s="880"/>
      <c r="G25" s="881"/>
      <c r="H25" s="873"/>
      <c r="I25" s="873"/>
    </row>
    <row r="26" spans="1:9" s="882" customFormat="1" ht="19.5" customHeight="1">
      <c r="A26" s="3328"/>
      <c r="B26" s="3328"/>
      <c r="C26" s="878" t="s">
        <v>575</v>
      </c>
      <c r="D26" s="879"/>
      <c r="E26" s="877">
        <v>1.1000000000000001</v>
      </c>
      <c r="F26" s="880"/>
      <c r="G26" s="881"/>
      <c r="H26" s="873"/>
      <c r="I26" s="873"/>
    </row>
    <row r="27" spans="1:9" s="882" customFormat="1" ht="19.5" customHeight="1">
      <c r="A27" s="3328"/>
      <c r="B27" s="3328"/>
      <c r="C27" s="878" t="s">
        <v>576</v>
      </c>
      <c r="D27" s="879"/>
      <c r="E27" s="877">
        <v>0.9</v>
      </c>
      <c r="F27" s="880" t="s">
        <v>577</v>
      </c>
      <c r="G27" s="881"/>
      <c r="H27" s="873"/>
      <c r="I27" s="873"/>
    </row>
    <row r="28" spans="1:9" s="882" customFormat="1" ht="19.5" customHeight="1">
      <c r="A28" s="3328"/>
      <c r="B28" s="3328"/>
      <c r="C28" s="878" t="s">
        <v>578</v>
      </c>
      <c r="D28" s="879"/>
      <c r="E28" s="877">
        <v>0.9</v>
      </c>
      <c r="F28" s="880" t="s">
        <v>579</v>
      </c>
      <c r="G28" s="881"/>
      <c r="H28" s="873"/>
      <c r="I28" s="873"/>
    </row>
    <row r="29" spans="1:9" s="882" customFormat="1" ht="19.5" customHeight="1">
      <c r="A29" s="3328"/>
      <c r="B29" s="3328"/>
      <c r="C29" s="878" t="s">
        <v>580</v>
      </c>
      <c r="D29" s="879"/>
      <c r="E29" s="877">
        <v>0.9</v>
      </c>
      <c r="F29" s="880" t="s">
        <v>581</v>
      </c>
      <c r="G29" s="881"/>
      <c r="H29" s="873"/>
      <c r="I29" s="873"/>
    </row>
    <row r="30" spans="1:9" s="882" customFormat="1" ht="19.5" customHeight="1">
      <c r="A30" s="3328"/>
      <c r="B30" s="3328"/>
      <c r="C30" s="878" t="s">
        <v>582</v>
      </c>
      <c r="D30" s="879"/>
      <c r="E30" s="877">
        <v>0.9</v>
      </c>
      <c r="F30" s="880" t="s">
        <v>583</v>
      </c>
      <c r="G30" s="881"/>
      <c r="H30" s="873"/>
      <c r="I30" s="873"/>
    </row>
    <row r="31" spans="1:9" s="882" customFormat="1" ht="19.5" customHeight="1">
      <c r="A31" s="3328"/>
      <c r="B31" s="3328"/>
      <c r="C31" s="878" t="s">
        <v>584</v>
      </c>
      <c r="D31" s="879"/>
      <c r="E31" s="877">
        <v>0.8</v>
      </c>
      <c r="F31" s="880" t="s">
        <v>585</v>
      </c>
      <c r="G31" s="881"/>
      <c r="H31" s="873"/>
      <c r="I31" s="873"/>
    </row>
    <row r="32" spans="1:9" s="882" customFormat="1" ht="19.5" customHeight="1">
      <c r="A32" s="3328"/>
      <c r="B32" s="3328"/>
      <c r="C32" s="878" t="s">
        <v>586</v>
      </c>
      <c r="D32" s="879"/>
      <c r="E32" s="877">
        <v>0.8</v>
      </c>
      <c r="F32" s="880" t="s">
        <v>587</v>
      </c>
      <c r="G32" s="881"/>
      <c r="H32" s="873"/>
      <c r="I32" s="873"/>
    </row>
    <row r="33" spans="1:9" s="882" customFormat="1" ht="19.5" customHeight="1">
      <c r="A33" s="3328" t="s">
        <v>185</v>
      </c>
      <c r="B33" s="877" t="s">
        <v>560</v>
      </c>
      <c r="C33" s="878" t="s">
        <v>588</v>
      </c>
      <c r="D33" s="879"/>
      <c r="E33" s="877">
        <v>1</v>
      </c>
      <c r="F33" s="880" t="s">
        <v>589</v>
      </c>
      <c r="G33" s="881"/>
      <c r="H33" s="873"/>
      <c r="I33" s="873"/>
    </row>
    <row r="34" spans="1:9" s="882" customFormat="1" ht="19.5" customHeight="1">
      <c r="A34" s="3328"/>
      <c r="B34" s="877" t="s">
        <v>563</v>
      </c>
      <c r="C34" s="878" t="s">
        <v>590</v>
      </c>
      <c r="D34" s="879"/>
      <c r="E34" s="877">
        <v>1.5</v>
      </c>
      <c r="F34" s="880" t="s">
        <v>591</v>
      </c>
      <c r="G34" s="881"/>
      <c r="H34" s="873"/>
      <c r="I34" s="873"/>
    </row>
    <row r="35" spans="1:9" s="882" customFormat="1" ht="19.5" customHeight="1">
      <c r="A35" s="3328" t="s">
        <v>186</v>
      </c>
      <c r="B35" s="877" t="s">
        <v>560</v>
      </c>
      <c r="C35" s="878" t="s">
        <v>592</v>
      </c>
      <c r="D35" s="879"/>
      <c r="E35" s="877">
        <v>1</v>
      </c>
      <c r="F35" s="880" t="s">
        <v>593</v>
      </c>
      <c r="G35" s="881"/>
      <c r="H35" s="873"/>
      <c r="I35" s="873"/>
    </row>
    <row r="36" spans="1:9" s="882" customFormat="1" ht="19.5" customHeight="1">
      <c r="A36" s="3328"/>
      <c r="B36" s="3328" t="s">
        <v>563</v>
      </c>
      <c r="C36" s="878" t="s">
        <v>594</v>
      </c>
      <c r="D36" s="879"/>
      <c r="E36" s="877">
        <v>1</v>
      </c>
      <c r="F36" s="880" t="s">
        <v>595</v>
      </c>
      <c r="G36" s="881"/>
      <c r="H36" s="873"/>
      <c r="I36" s="873"/>
    </row>
    <row r="37" spans="1:9" s="882" customFormat="1" ht="19.5" customHeight="1">
      <c r="A37" s="3328"/>
      <c r="B37" s="3328"/>
      <c r="C37" s="878" t="s">
        <v>596</v>
      </c>
      <c r="D37" s="879"/>
      <c r="E37" s="877">
        <v>1.5</v>
      </c>
      <c r="F37" s="880" t="s">
        <v>597</v>
      </c>
      <c r="G37" s="881"/>
      <c r="H37" s="873"/>
      <c r="I37" s="873"/>
    </row>
    <row r="38" spans="1:9" s="882" customFormat="1" ht="19.5" customHeight="1">
      <c r="A38" s="3328"/>
      <c r="B38" s="3328"/>
      <c r="C38" s="878" t="s">
        <v>598</v>
      </c>
      <c r="D38" s="879"/>
      <c r="E38" s="877">
        <v>1</v>
      </c>
      <c r="F38" s="880" t="s">
        <v>599</v>
      </c>
      <c r="G38" s="881"/>
      <c r="H38" s="873"/>
      <c r="I38" s="873"/>
    </row>
    <row r="39" spans="1:9" s="882" customFormat="1" ht="19.5" customHeight="1">
      <c r="A39" s="3328"/>
      <c r="B39" s="332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8" t="s">
        <v>614</v>
      </c>
      <c r="C61" s="813" t="s">
        <v>615</v>
      </c>
      <c r="D61" s="813" t="s">
        <v>616</v>
      </c>
      <c r="E61" s="890">
        <v>0.5</v>
      </c>
      <c r="F61" s="877">
        <v>80</v>
      </c>
    </row>
    <row r="62" spans="1:8" s="873" customFormat="1" ht="24">
      <c r="A62" s="877">
        <v>2</v>
      </c>
      <c r="B62" s="3328"/>
      <c r="C62" s="813" t="s">
        <v>617</v>
      </c>
      <c r="D62" s="813" t="s">
        <v>618</v>
      </c>
      <c r="E62" s="890">
        <v>0.5</v>
      </c>
      <c r="F62" s="877">
        <v>80</v>
      </c>
    </row>
    <row r="63" spans="1:8" s="873" customFormat="1" ht="36">
      <c r="A63" s="877">
        <v>3</v>
      </c>
      <c r="B63" s="3328"/>
      <c r="C63" s="813" t="s">
        <v>619</v>
      </c>
      <c r="D63" s="813" t="s">
        <v>620</v>
      </c>
      <c r="E63" s="890">
        <v>0.5</v>
      </c>
      <c r="F63" s="877">
        <v>80</v>
      </c>
    </row>
    <row r="64" spans="1:8" s="873" customFormat="1" ht="36">
      <c r="A64" s="877">
        <v>4</v>
      </c>
      <c r="B64" s="3328"/>
      <c r="C64" s="813" t="s">
        <v>621</v>
      </c>
      <c r="D64" s="813" t="s">
        <v>622</v>
      </c>
      <c r="E64" s="890">
        <v>0.4</v>
      </c>
      <c r="F64" s="877">
        <v>60</v>
      </c>
    </row>
    <row r="65" spans="1:6" s="873" customFormat="1" ht="36">
      <c r="A65" s="877">
        <v>5</v>
      </c>
      <c r="B65" s="3328"/>
      <c r="C65" s="813" t="s">
        <v>623</v>
      </c>
      <c r="D65" s="813" t="s">
        <v>624</v>
      </c>
      <c r="E65" s="890">
        <v>0.2</v>
      </c>
      <c r="F65" s="877">
        <v>30</v>
      </c>
    </row>
    <row r="66" spans="1:6" s="873" customFormat="1" ht="36">
      <c r="A66" s="877">
        <v>6</v>
      </c>
      <c r="B66" s="3328"/>
      <c r="C66" s="813" t="s">
        <v>625</v>
      </c>
      <c r="D66" s="813" t="s">
        <v>626</v>
      </c>
      <c r="E66" s="890">
        <v>0.3</v>
      </c>
      <c r="F66" s="877">
        <v>50</v>
      </c>
    </row>
    <row r="67" spans="1:6" s="873" customFormat="1" ht="36">
      <c r="A67" s="877">
        <v>7</v>
      </c>
      <c r="B67" s="3328"/>
      <c r="C67" s="813" t="s">
        <v>627</v>
      </c>
      <c r="D67" s="813" t="s">
        <v>628</v>
      </c>
      <c r="E67" s="890">
        <v>0.2</v>
      </c>
      <c r="F67" s="877">
        <v>30</v>
      </c>
    </row>
    <row r="68" spans="1:6" s="873" customFormat="1" ht="36">
      <c r="A68" s="877">
        <v>8</v>
      </c>
      <c r="B68" s="3328"/>
      <c r="C68" s="813" t="s">
        <v>629</v>
      </c>
      <c r="D68" s="813" t="s">
        <v>630</v>
      </c>
      <c r="E68" s="890">
        <v>0.2</v>
      </c>
      <c r="F68" s="877">
        <v>30</v>
      </c>
    </row>
    <row r="69" spans="1:6" s="873" customFormat="1" ht="36">
      <c r="A69" s="877">
        <v>9</v>
      </c>
      <c r="B69" s="3328"/>
      <c r="C69" s="813" t="s">
        <v>631</v>
      </c>
      <c r="D69" s="813" t="s">
        <v>632</v>
      </c>
      <c r="E69" s="890">
        <v>0.2</v>
      </c>
      <c r="F69" s="877">
        <v>30</v>
      </c>
    </row>
    <row r="70" spans="1:6" s="873" customFormat="1" ht="48">
      <c r="A70" s="877">
        <v>10</v>
      </c>
      <c r="B70" s="3328"/>
      <c r="C70" s="813" t="s">
        <v>633</v>
      </c>
      <c r="D70" s="813" t="s">
        <v>634</v>
      </c>
      <c r="E70" s="890">
        <v>0.2</v>
      </c>
      <c r="F70" s="877">
        <v>30</v>
      </c>
    </row>
    <row r="71" spans="1:6" s="873" customFormat="1" ht="48">
      <c r="A71" s="877">
        <v>11</v>
      </c>
      <c r="B71" s="3328"/>
      <c r="C71" s="813" t="s">
        <v>635</v>
      </c>
      <c r="D71" s="813" t="s">
        <v>636</v>
      </c>
      <c r="E71" s="890">
        <v>0.2</v>
      </c>
      <c r="F71" s="877">
        <v>30</v>
      </c>
    </row>
    <row r="72" spans="1:6" s="873" customFormat="1" ht="36">
      <c r="A72" s="877">
        <v>12</v>
      </c>
      <c r="B72" s="3328"/>
      <c r="C72" s="813" t="s">
        <v>637</v>
      </c>
      <c r="D72" s="813" t="s">
        <v>638</v>
      </c>
      <c r="E72" s="890">
        <v>0.5</v>
      </c>
      <c r="F72" s="877">
        <v>80</v>
      </c>
    </row>
    <row r="73" spans="1:6" s="873" customFormat="1" ht="24">
      <c r="A73" s="877">
        <v>13</v>
      </c>
      <c r="B73" s="3328"/>
      <c r="C73" s="813" t="s">
        <v>639</v>
      </c>
      <c r="D73" s="813" t="s">
        <v>640</v>
      </c>
      <c r="E73" s="890">
        <v>0.4</v>
      </c>
      <c r="F73" s="877">
        <v>60</v>
      </c>
    </row>
    <row r="74" spans="1:6" s="873" customFormat="1" ht="24">
      <c r="A74" s="877">
        <v>14</v>
      </c>
      <c r="B74" s="3328"/>
      <c r="C74" s="813" t="s">
        <v>641</v>
      </c>
      <c r="D74" s="813" t="s">
        <v>642</v>
      </c>
      <c r="E74" s="890">
        <v>0.2</v>
      </c>
      <c r="F74" s="877">
        <v>30</v>
      </c>
    </row>
    <row r="75" spans="1:6" s="873" customFormat="1" ht="24">
      <c r="A75" s="877">
        <v>15</v>
      </c>
      <c r="B75" s="3328"/>
      <c r="C75" s="813" t="s">
        <v>643</v>
      </c>
      <c r="D75" s="813" t="s">
        <v>644</v>
      </c>
      <c r="E75" s="890">
        <v>0.2</v>
      </c>
      <c r="F75" s="877">
        <v>30</v>
      </c>
    </row>
    <row r="76" spans="1:6" s="873" customFormat="1" ht="24">
      <c r="A76" s="877">
        <v>16</v>
      </c>
      <c r="B76" s="3328" t="s">
        <v>645</v>
      </c>
      <c r="C76" s="813" t="s">
        <v>646</v>
      </c>
      <c r="D76" s="813" t="s">
        <v>647</v>
      </c>
      <c r="E76" s="890">
        <v>0.5</v>
      </c>
      <c r="F76" s="877">
        <v>80</v>
      </c>
    </row>
    <row r="77" spans="1:6" s="873" customFormat="1" ht="24">
      <c r="A77" s="877">
        <v>17</v>
      </c>
      <c r="B77" s="3328"/>
      <c r="C77" s="813" t="s">
        <v>648</v>
      </c>
      <c r="D77" s="813" t="s">
        <v>649</v>
      </c>
      <c r="E77" s="890">
        <v>0.5</v>
      </c>
      <c r="F77" s="877">
        <v>80</v>
      </c>
    </row>
    <row r="78" spans="1:6" s="873" customFormat="1" ht="24">
      <c r="A78" s="877">
        <v>18</v>
      </c>
      <c r="B78" s="3328"/>
      <c r="C78" s="813" t="s">
        <v>650</v>
      </c>
      <c r="D78" s="813" t="s">
        <v>651</v>
      </c>
      <c r="E78" s="890">
        <v>0.2</v>
      </c>
      <c r="F78" s="877">
        <v>30</v>
      </c>
    </row>
    <row r="79" spans="1:6" s="873" customFormat="1" ht="24">
      <c r="A79" s="877">
        <v>19</v>
      </c>
      <c r="B79" s="3328"/>
      <c r="C79" s="813" t="s">
        <v>652</v>
      </c>
      <c r="D79" s="813" t="s">
        <v>653</v>
      </c>
      <c r="E79" s="890">
        <v>0.5</v>
      </c>
      <c r="F79" s="877">
        <v>80</v>
      </c>
    </row>
    <row r="80" spans="1:6" s="873" customFormat="1" ht="36">
      <c r="A80" s="877">
        <v>20</v>
      </c>
      <c r="B80" s="3328"/>
      <c r="C80" s="813" t="s">
        <v>654</v>
      </c>
      <c r="D80" s="813" t="s">
        <v>655</v>
      </c>
      <c r="E80" s="890">
        <v>0.2</v>
      </c>
      <c r="F80" s="877">
        <v>30</v>
      </c>
    </row>
    <row r="81" spans="1:6" s="873" customFormat="1" ht="36">
      <c r="A81" s="877">
        <v>21</v>
      </c>
      <c r="B81" s="3328"/>
      <c r="C81" s="813" t="s">
        <v>656</v>
      </c>
      <c r="D81" s="813" t="s">
        <v>657</v>
      </c>
      <c r="E81" s="890">
        <v>0.2</v>
      </c>
      <c r="F81" s="877">
        <v>30</v>
      </c>
    </row>
    <row r="82" spans="1:6" s="873" customFormat="1" ht="48">
      <c r="A82" s="877">
        <v>22</v>
      </c>
      <c r="B82" s="3328"/>
      <c r="C82" s="813" t="s">
        <v>658</v>
      </c>
      <c r="D82" s="813" t="s">
        <v>659</v>
      </c>
      <c r="E82" s="890">
        <v>0.2</v>
      </c>
      <c r="F82" s="877">
        <v>30</v>
      </c>
    </row>
    <row r="83" spans="1:6" s="873" customFormat="1" ht="48">
      <c r="A83" s="877">
        <v>23</v>
      </c>
      <c r="B83" s="3328"/>
      <c r="C83" s="813" t="s">
        <v>660</v>
      </c>
      <c r="D83" s="813" t="s">
        <v>661</v>
      </c>
      <c r="E83" s="890">
        <v>0.2</v>
      </c>
      <c r="F83" s="877">
        <v>30</v>
      </c>
    </row>
    <row r="84" spans="1:6" s="873" customFormat="1" ht="36">
      <c r="A84" s="877">
        <v>24</v>
      </c>
      <c r="B84" s="3328"/>
      <c r="C84" s="813" t="s">
        <v>662</v>
      </c>
      <c r="D84" s="813" t="s">
        <v>663</v>
      </c>
      <c r="E84" s="890">
        <v>0.2</v>
      </c>
      <c r="F84" s="877">
        <v>30</v>
      </c>
    </row>
    <row r="85" spans="1:6" s="873" customFormat="1" ht="36">
      <c r="A85" s="877">
        <v>25</v>
      </c>
      <c r="B85" s="3328"/>
      <c r="C85" s="813" t="s">
        <v>664</v>
      </c>
      <c r="D85" s="813" t="s">
        <v>665</v>
      </c>
      <c r="E85" s="890">
        <v>0.5</v>
      </c>
      <c r="F85" s="877">
        <v>80</v>
      </c>
    </row>
    <row r="86" spans="1:6" s="873" customFormat="1" ht="36">
      <c r="A86" s="877">
        <v>26</v>
      </c>
      <c r="B86" s="3328"/>
      <c r="C86" s="813" t="s">
        <v>666</v>
      </c>
      <c r="D86" s="813" t="s">
        <v>667</v>
      </c>
      <c r="E86" s="890">
        <v>0.2</v>
      </c>
      <c r="F86" s="877">
        <v>30</v>
      </c>
    </row>
    <row r="87" spans="1:6" s="873" customFormat="1" ht="36">
      <c r="A87" s="877">
        <v>27</v>
      </c>
      <c r="B87" s="3328"/>
      <c r="C87" s="813" t="s">
        <v>668</v>
      </c>
      <c r="D87" s="813" t="s">
        <v>669</v>
      </c>
      <c r="E87" s="890">
        <v>0.2</v>
      </c>
      <c r="F87" s="877">
        <v>30</v>
      </c>
    </row>
    <row r="88" spans="1:6" s="873" customFormat="1" ht="36">
      <c r="A88" s="877">
        <v>28</v>
      </c>
      <c r="B88" s="3328"/>
      <c r="C88" s="813" t="s">
        <v>670</v>
      </c>
      <c r="D88" s="813" t="s">
        <v>671</v>
      </c>
      <c r="E88" s="890">
        <v>0.2</v>
      </c>
      <c r="F88" s="877">
        <v>30</v>
      </c>
    </row>
    <row r="89" spans="1:6" s="873" customFormat="1" ht="24">
      <c r="A89" s="877">
        <v>29</v>
      </c>
      <c r="B89" s="3328"/>
      <c r="C89" s="813" t="s">
        <v>672</v>
      </c>
      <c r="D89" s="813" t="s">
        <v>673</v>
      </c>
      <c r="E89" s="890">
        <v>0.2</v>
      </c>
      <c r="F89" s="877">
        <v>30</v>
      </c>
    </row>
    <row r="90" spans="1:6" s="873" customFormat="1" ht="24">
      <c r="A90" s="877">
        <v>30</v>
      </c>
      <c r="B90" s="3328"/>
      <c r="C90" s="813" t="s">
        <v>674</v>
      </c>
      <c r="D90" s="813" t="s">
        <v>675</v>
      </c>
      <c r="E90" s="890">
        <v>0.2</v>
      </c>
      <c r="F90" s="877">
        <v>30</v>
      </c>
    </row>
    <row r="91" spans="1:6" s="873" customFormat="1" ht="36">
      <c r="A91" s="877">
        <v>31</v>
      </c>
      <c r="B91" s="3328"/>
      <c r="C91" s="813" t="s">
        <v>676</v>
      </c>
      <c r="D91" s="813" t="s">
        <v>677</v>
      </c>
      <c r="E91" s="890">
        <v>0.2</v>
      </c>
      <c r="F91" s="877">
        <v>30</v>
      </c>
    </row>
    <row r="92" spans="1:6" s="873" customFormat="1" ht="24">
      <c r="A92" s="877">
        <v>32</v>
      </c>
      <c r="B92" s="3328" t="s">
        <v>678</v>
      </c>
      <c r="C92" s="877" t="s">
        <v>679</v>
      </c>
      <c r="D92" s="813" t="s">
        <v>680</v>
      </c>
      <c r="E92" s="890">
        <v>0.2</v>
      </c>
      <c r="F92" s="877">
        <v>30</v>
      </c>
    </row>
    <row r="93" spans="1:6" s="873" customFormat="1" ht="36">
      <c r="A93" s="877">
        <v>33</v>
      </c>
      <c r="B93" s="3328"/>
      <c r="C93" s="877" t="s">
        <v>681</v>
      </c>
      <c r="D93" s="813" t="s">
        <v>682</v>
      </c>
      <c r="E93" s="890">
        <v>0.2</v>
      </c>
      <c r="F93" s="877">
        <v>30</v>
      </c>
    </row>
    <row r="94" spans="1:6" s="873" customFormat="1" ht="48">
      <c r="A94" s="877">
        <v>34</v>
      </c>
      <c r="B94" s="3328"/>
      <c r="C94" s="877" t="s">
        <v>683</v>
      </c>
      <c r="D94" s="813" t="s">
        <v>684</v>
      </c>
      <c r="E94" s="890">
        <v>0.2</v>
      </c>
      <c r="F94" s="877">
        <v>30</v>
      </c>
    </row>
    <row r="95" spans="1:6" s="873" customFormat="1" ht="36">
      <c r="A95" s="877">
        <v>35</v>
      </c>
      <c r="B95" s="3328"/>
      <c r="C95" s="877" t="s">
        <v>685</v>
      </c>
      <c r="D95" s="813" t="s">
        <v>686</v>
      </c>
      <c r="E95" s="890">
        <v>0.2</v>
      </c>
      <c r="F95" s="877">
        <v>30</v>
      </c>
    </row>
    <row r="96" spans="1:6" s="873" customFormat="1" ht="48">
      <c r="A96" s="877">
        <v>36</v>
      </c>
      <c r="B96" s="3328"/>
      <c r="C96" s="813" t="s">
        <v>687</v>
      </c>
      <c r="D96" s="813" t="s">
        <v>688</v>
      </c>
      <c r="E96" s="890">
        <v>0.2</v>
      </c>
      <c r="F96" s="877">
        <v>30</v>
      </c>
    </row>
    <row r="97" spans="1:6" s="873" customFormat="1" ht="36">
      <c r="A97" s="877">
        <v>37</v>
      </c>
      <c r="B97" s="3328"/>
      <c r="C97" s="877" t="s">
        <v>689</v>
      </c>
      <c r="D97" s="813" t="s">
        <v>690</v>
      </c>
      <c r="E97" s="890">
        <v>0.2</v>
      </c>
      <c r="F97" s="877">
        <v>30</v>
      </c>
    </row>
    <row r="98" spans="1:6" s="873" customFormat="1" ht="36">
      <c r="A98" s="877">
        <v>38</v>
      </c>
      <c r="B98" s="3328"/>
      <c r="C98" s="877" t="s">
        <v>691</v>
      </c>
      <c r="D98" s="813" t="s">
        <v>692</v>
      </c>
      <c r="E98" s="890">
        <v>0.2</v>
      </c>
      <c r="F98" s="877">
        <v>30</v>
      </c>
    </row>
    <row r="99" spans="1:6" s="873" customFormat="1" ht="36">
      <c r="A99" s="877">
        <v>39</v>
      </c>
      <c r="B99" s="3328" t="s">
        <v>693</v>
      </c>
      <c r="C99" s="877" t="s">
        <v>694</v>
      </c>
      <c r="D99" s="813" t="s">
        <v>695</v>
      </c>
      <c r="E99" s="890">
        <v>0.3</v>
      </c>
      <c r="F99" s="877">
        <v>50</v>
      </c>
    </row>
    <row r="100" spans="1:6" s="873" customFormat="1" ht="24">
      <c r="A100" s="877">
        <v>40</v>
      </c>
      <c r="B100" s="3328"/>
      <c r="C100" s="877" t="s">
        <v>696</v>
      </c>
      <c r="D100" s="813" t="s">
        <v>697</v>
      </c>
      <c r="E100" s="890">
        <v>0.2</v>
      </c>
      <c r="F100" s="877">
        <v>30</v>
      </c>
    </row>
    <row r="101" spans="1:6" s="873" customFormat="1" ht="36">
      <c r="A101" s="877">
        <v>41</v>
      </c>
      <c r="B101" s="332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8" t="s">
        <v>708</v>
      </c>
      <c r="C105" s="877" t="s">
        <v>709</v>
      </c>
      <c r="D105" s="813" t="s">
        <v>710</v>
      </c>
      <c r="E105" s="890">
        <v>0.2</v>
      </c>
      <c r="F105" s="877">
        <v>30</v>
      </c>
    </row>
    <row r="106" spans="1:6" s="873" customFormat="1" ht="36">
      <c r="A106" s="877">
        <v>46</v>
      </c>
      <c r="B106" s="3328"/>
      <c r="C106" s="877" t="s">
        <v>711</v>
      </c>
      <c r="D106" s="813" t="s">
        <v>712</v>
      </c>
      <c r="E106" s="890">
        <v>0.2</v>
      </c>
      <c r="F106" s="877">
        <v>30</v>
      </c>
    </row>
    <row r="107" spans="1:6" s="873" customFormat="1" ht="36">
      <c r="A107" s="877">
        <v>47</v>
      </c>
      <c r="B107" s="3328" t="s">
        <v>713</v>
      </c>
      <c r="C107" s="877" t="s">
        <v>714</v>
      </c>
      <c r="D107" s="813" t="s">
        <v>715</v>
      </c>
      <c r="E107" s="890">
        <v>0.3</v>
      </c>
      <c r="F107" s="877">
        <v>50</v>
      </c>
    </row>
    <row r="108" spans="1:6" s="873" customFormat="1" ht="36">
      <c r="A108" s="877">
        <v>48</v>
      </c>
      <c r="B108" s="332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8" t="s">
        <v>724</v>
      </c>
      <c r="C111" s="877" t="s">
        <v>725</v>
      </c>
      <c r="D111" s="813" t="s">
        <v>726</v>
      </c>
      <c r="E111" s="890">
        <v>0.2</v>
      </c>
      <c r="F111" s="877">
        <v>30</v>
      </c>
    </row>
    <row r="112" spans="1:6" s="873" customFormat="1" ht="24">
      <c r="A112" s="877">
        <v>52</v>
      </c>
      <c r="B112" s="3328"/>
      <c r="C112" s="877" t="s">
        <v>727</v>
      </c>
      <c r="D112" s="813" t="s">
        <v>728</v>
      </c>
      <c r="E112" s="890">
        <v>0.2</v>
      </c>
      <c r="F112" s="877">
        <v>30</v>
      </c>
    </row>
    <row r="113" spans="1:6" s="873" customFormat="1" ht="24">
      <c r="A113" s="877">
        <v>53</v>
      </c>
      <c r="B113" s="332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8" t="s">
        <v>737</v>
      </c>
      <c r="C116" s="877" t="s">
        <v>738</v>
      </c>
      <c r="D116" s="813" t="s">
        <v>739</v>
      </c>
      <c r="E116" s="890">
        <v>0.2</v>
      </c>
      <c r="F116" s="877">
        <v>30</v>
      </c>
    </row>
    <row r="117" spans="1:6" ht="36">
      <c r="A117" s="877">
        <v>57</v>
      </c>
      <c r="B117" s="332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6" t="s">
        <v>2996</v>
      </c>
      <c r="B2" s="2907" t="e">
        <f ca="1">SUMIF(B6:B13,"&lt;&gt;#ref!",B6:B13)</f>
        <v>#DIV/0!</v>
      </c>
      <c r="C2" s="2906" t="s">
        <v>2997</v>
      </c>
      <c r="D2" s="2906" t="s">
        <v>2998</v>
      </c>
      <c r="E2" s="2907" t="e">
        <f ca="1">SUM(E6:E13)</f>
        <v>#REF!</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3">
        <f ca="1">SUMIF(INDIRECT("'"&amp;A6&amp;"'"&amp;"!C:C"),"建筑面积",INDIRECT("'"&amp;A6&amp;"'"&amp;"!D:D"))</f>
        <v>0</v>
      </c>
    </row>
    <row r="7" spans="1:5" ht="15.75">
      <c r="A7" s="2911"/>
      <c r="B7" s="2907" t="e">
        <f ca="1">SUMIF(INDIRECT("'"&amp;A7&amp;"'"&amp;"!A:A"),"总价",INDIRECT("'"&amp;A7&amp;"'"&amp;"!B:B"))</f>
        <v>#REF!</v>
      </c>
      <c r="C7" s="2906" t="s">
        <v>2997</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3" t="e">
        <f t="shared" ca="1" si="0"/>
        <v>#REF!</v>
      </c>
    </row>
    <row r="9" spans="1:5" ht="15.75">
      <c r="A9" s="2911"/>
      <c r="B9" s="2907" t="e">
        <f t="shared" ca="1" si="1"/>
        <v>#REF!</v>
      </c>
      <c r="C9" s="2906" t="s">
        <v>2997</v>
      </c>
      <c r="D9" s="2908"/>
      <c r="E9" s="2573" t="e">
        <f t="shared" ca="1" si="0"/>
        <v>#REF!</v>
      </c>
    </row>
    <row r="10" spans="1:5" ht="15.75">
      <c r="A10" s="2911"/>
      <c r="B10" s="2907" t="e">
        <f t="shared" ca="1" si="1"/>
        <v>#REF!</v>
      </c>
      <c r="C10" s="2906" t="s">
        <v>2997</v>
      </c>
      <c r="D10" s="2908"/>
      <c r="E10" s="2573" t="e">
        <f t="shared" ca="1" si="0"/>
        <v>#REF!</v>
      </c>
    </row>
    <row r="11" spans="1:5" ht="15.75">
      <c r="A11" s="2911"/>
      <c r="B11" s="2907" t="e">
        <f t="shared" ca="1" si="1"/>
        <v>#REF!</v>
      </c>
      <c r="C11" s="2906" t="s">
        <v>2997</v>
      </c>
      <c r="D11" s="2908"/>
      <c r="E11" s="2573" t="e">
        <f t="shared" ca="1" si="0"/>
        <v>#REF!</v>
      </c>
    </row>
    <row r="12" spans="1:5" ht="15.75">
      <c r="A12" s="2911"/>
      <c r="B12" s="2907" t="e">
        <f t="shared" ca="1" si="1"/>
        <v>#REF!</v>
      </c>
      <c r="C12" s="2906" t="s">
        <v>2997</v>
      </c>
      <c r="D12" s="2908"/>
      <c r="E12" s="2573" t="e">
        <f t="shared" ca="1" si="0"/>
        <v>#REF!</v>
      </c>
    </row>
    <row r="13" spans="1:5" ht="15.75">
      <c r="A13" s="2911"/>
      <c r="B13" s="2907" t="e">
        <f t="shared" ca="1" si="1"/>
        <v>#REF!</v>
      </c>
      <c r="C13" s="2906" t="s">
        <v>2997</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59"/>
      <c r="B4" s="3015" t="s">
        <v>1631</v>
      </c>
      <c r="C4" s="3015"/>
      <c r="D4" s="3015"/>
      <c r="E4" s="1959"/>
    </row>
    <row r="5" spans="1:5" ht="16.5" thickTop="1">
      <c r="A5" s="1957"/>
      <c r="B5" s="3013" t="s">
        <v>1623</v>
      </c>
      <c r="C5" s="1960" t="s">
        <v>1624</v>
      </c>
      <c r="D5" s="1038" t="e">
        <f ca="1">结果表!H101</f>
        <v>#N/A</v>
      </c>
      <c r="E5" s="1957"/>
    </row>
    <row r="6" spans="1:5" ht="15.75">
      <c r="A6" s="1957"/>
      <c r="B6" s="3013"/>
      <c r="C6" s="1960" t="s">
        <v>1625</v>
      </c>
      <c r="D6" s="1038" t="e">
        <f ca="1">NUMBERSTRING(INT(D5*10000),2)&amp;"元整"</f>
        <v>#N/A</v>
      </c>
      <c r="E6" s="1957"/>
    </row>
    <row r="7" spans="1:5" ht="15.75">
      <c r="A7" s="1957"/>
      <c r="B7" s="3018"/>
      <c r="C7" s="1961" t="s">
        <v>1626</v>
      </c>
      <c r="D7" s="1039" t="e">
        <f ca="1">结果表!H102</f>
        <v>#N/A</v>
      </c>
      <c r="E7" s="1957"/>
    </row>
    <row r="8" spans="1:5" ht="15.75">
      <c r="A8" s="1957"/>
      <c r="B8" s="3019" t="str">
        <f>结果表!E103</f>
        <v>2.估价师知悉的法定优先受偿款</v>
      </c>
      <c r="C8" s="1962" t="s">
        <v>1627</v>
      </c>
      <c r="D8" s="1039">
        <f>结果表!H103</f>
        <v>0</v>
      </c>
      <c r="E8" s="1957"/>
    </row>
    <row r="9" spans="1:5" ht="15.75">
      <c r="A9" s="1957"/>
      <c r="B9" s="3021"/>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3012" t="str">
        <f>结果表!E107</f>
        <v>——</v>
      </c>
      <c r="C13" s="1965" t="s">
        <v>1624</v>
      </c>
      <c r="D13" s="1041" t="str">
        <f>结果表!H107</f>
        <v>——</v>
      </c>
      <c r="E13" s="1957"/>
    </row>
    <row r="14" spans="1:5" ht="15.75">
      <c r="A14" s="1957"/>
      <c r="B14" s="3013"/>
      <c r="C14" s="1960" t="s">
        <v>1625</v>
      </c>
      <c r="D14" s="1038" t="e">
        <f>NUMBERSTRING(INT(D13*10000),2)&amp;"元整"</f>
        <v>#VALUE!</v>
      </c>
      <c r="E14" s="1957"/>
    </row>
    <row r="15" spans="1:5" ht="15">
      <c r="A15" s="1957"/>
      <c r="B15" s="3018"/>
      <c r="C15" s="1961" t="s">
        <v>1635</v>
      </c>
      <c r="D15" s="1050" t="e">
        <f>结果表!H108</f>
        <v>#VALUE!</v>
      </c>
      <c r="E15" s="1957"/>
    </row>
    <row r="16" spans="1:5" ht="15">
      <c r="A16" s="1957"/>
      <c r="B16" s="3019" t="str">
        <f>结果表!E109</f>
        <v>3.抵押担保权已注销时的房地产抵押价值</v>
      </c>
      <c r="C16" s="1965" t="s">
        <v>1636</v>
      </c>
      <c r="D16" s="1966" t="e">
        <f ca="1">结果表!H109</f>
        <v>#N/A</v>
      </c>
      <c r="E16" s="1957"/>
    </row>
    <row r="17" spans="1:5" ht="15.75">
      <c r="A17" s="1957"/>
      <c r="B17" s="3020"/>
      <c r="C17" s="1960" t="s">
        <v>1637</v>
      </c>
      <c r="D17" s="1038" t="e">
        <f ca="1">NUMBERSTRING(INT(D16*10000),2)&amp;"元整"</f>
        <v>#N/A</v>
      </c>
      <c r="E17" s="1957"/>
    </row>
    <row r="18" spans="1:5" ht="15">
      <c r="A18" s="1957"/>
      <c r="B18" s="3021"/>
      <c r="C18" s="1961" t="s">
        <v>1626</v>
      </c>
      <c r="D18" s="1050" t="e">
        <f ca="1">结果表!H110</f>
        <v>#N/A</v>
      </c>
      <c r="E18" s="1957"/>
    </row>
    <row r="19" spans="1:5" ht="15.75">
      <c r="A19" s="1957"/>
      <c r="B19" s="3012" t="str">
        <f>结果表!E111</f>
        <v>——</v>
      </c>
      <c r="C19" s="1965" t="s">
        <v>1624</v>
      </c>
      <c r="D19" s="1039" t="str">
        <f>结果表!H111</f>
        <v>——</v>
      </c>
      <c r="E19" s="1957"/>
    </row>
    <row r="20" spans="1:5" ht="15.75">
      <c r="A20" s="1957"/>
      <c r="B20" s="3013"/>
      <c r="C20" s="1960" t="s">
        <v>1637</v>
      </c>
      <c r="D20" s="1038" t="e">
        <f>NUMBERSTRING(INT(D19*10000),2)&amp;"元整"</f>
        <v>#VALUE!</v>
      </c>
      <c r="E20" s="1957"/>
    </row>
    <row r="21" spans="1:5" ht="15.75" thickBot="1">
      <c r="A21" s="1957"/>
      <c r="B21" s="3014"/>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4" t="s">
        <v>1150</v>
      </c>
      <c r="C1" s="3334"/>
      <c r="D1" s="3334"/>
      <c r="E1" s="3334"/>
      <c r="F1" s="3334"/>
      <c r="G1" s="3330" t="s">
        <v>1151</v>
      </c>
      <c r="H1" s="3330"/>
      <c r="I1" s="3330"/>
      <c r="J1" s="3330"/>
      <c r="K1" s="3330"/>
      <c r="L1" s="3330"/>
      <c r="N1" s="3330" t="s">
        <v>1152</v>
      </c>
      <c r="O1" s="3330"/>
      <c r="P1" s="3330"/>
      <c r="Q1" s="3330"/>
      <c r="R1" s="1444"/>
      <c r="S1" s="3330" t="s">
        <v>1153</v>
      </c>
      <c r="T1" s="3330"/>
      <c r="U1" s="3330"/>
      <c r="V1" s="3330"/>
      <c r="X1" s="3329" t="s">
        <v>1154</v>
      </c>
      <c r="Y1" s="3330"/>
      <c r="Z1" s="3330"/>
      <c r="AA1" s="3330"/>
      <c r="AB1" s="3330"/>
      <c r="AD1" s="3329" t="s">
        <v>1155</v>
      </c>
      <c r="AE1" s="3330"/>
      <c r="AF1" s="3330"/>
      <c r="AG1" s="3330"/>
      <c r="AH1" s="3330"/>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5" customFormat="1" ht="14.25">
      <c r="A3" s="2934" t="s">
        <v>3043</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3042</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2">
        <v>2018</v>
      </c>
      <c r="H5" s="1728">
        <v>1</v>
      </c>
      <c r="I5" s="2920">
        <v>0</v>
      </c>
      <c r="J5" s="2920">
        <v>0</v>
      </c>
      <c r="K5" s="2920">
        <v>0</v>
      </c>
      <c r="L5" s="2920">
        <v>0</v>
      </c>
      <c r="N5" s="1465">
        <f t="shared" ref="N5:N10" si="7">I5/100</f>
        <v>0</v>
      </c>
      <c r="O5" s="1465">
        <f t="shared" ref="O5" si="8">J5/100</f>
        <v>0</v>
      </c>
      <c r="P5" s="1465">
        <f t="shared" ref="P5" si="9">K5/100</f>
        <v>0</v>
      </c>
      <c r="Q5" s="1465">
        <f t="shared" ref="Q5" si="10">L5/100</f>
        <v>0</v>
      </c>
      <c r="R5" s="1730"/>
      <c r="S5" s="1731"/>
      <c r="T5" s="1730"/>
      <c r="U5" s="1730"/>
      <c r="V5" s="1730"/>
      <c r="W5" s="2924" t="s">
        <v>3044</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3039</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2">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3040</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18"/>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1"/>
        <v>419.31181600000002</v>
      </c>
      <c r="C8" s="1475">
        <f t="shared" si="22"/>
        <v>313.95436800000004</v>
      </c>
      <c r="D8" s="1475">
        <f t="shared" si="23"/>
        <v>313.95436800000004</v>
      </c>
      <c r="E8" s="1475">
        <f t="shared" si="24"/>
        <v>596.63028431999999</v>
      </c>
      <c r="F8" s="1475">
        <f t="shared" si="25"/>
        <v>274.74220703999998</v>
      </c>
      <c r="G8" s="2917"/>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18"/>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C10</f>
        <v>302</v>
      </c>
      <c r="E10" s="1467">
        <v>553</v>
      </c>
      <c r="F10" s="1468">
        <v>266</v>
      </c>
      <c r="G10" s="3335">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332"/>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332"/>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333"/>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331">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332"/>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332"/>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333"/>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331">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332"/>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332"/>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333"/>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336">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337"/>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337"/>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338"/>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331">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332"/>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332"/>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333"/>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331">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332">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332">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333">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331">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332">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332">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333">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331">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332">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332">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333">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331">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332">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332">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333">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331">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332">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332">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333">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331">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332">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332">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333">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331">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332">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332">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333">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331">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332">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332">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333">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331">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332">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332">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333">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331">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332">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332">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333">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2" t="s">
        <v>3006</v>
      </c>
      <c r="C1" s="3340" t="s">
        <v>3007</v>
      </c>
      <c r="D1" s="3341"/>
      <c r="E1" s="3341"/>
      <c r="F1" s="3341"/>
      <c r="G1" s="3341"/>
      <c r="H1" s="3341"/>
      <c r="I1" s="3341"/>
      <c r="J1" s="3341"/>
      <c r="K1" s="3341"/>
      <c r="L1" s="3341"/>
      <c r="M1" s="3341"/>
      <c r="N1" s="3341"/>
      <c r="O1" s="3341"/>
      <c r="P1" s="3341"/>
      <c r="Q1" s="3341"/>
      <c r="R1" s="3341"/>
      <c r="S1" s="3342"/>
      <c r="T1" s="1202" t="s">
        <v>3008</v>
      </c>
    </row>
    <row r="2" spans="1:45" s="705" customFormat="1">
      <c r="A2" s="1203"/>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3016</v>
      </c>
      <c r="B17" s="2913"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3018</v>
      </c>
      <c r="E19" s="1790"/>
      <c r="F19" s="1790"/>
      <c r="G19" s="1790"/>
      <c r="H19" s="1278"/>
      <c r="I19" s="167"/>
      <c r="J19" s="167"/>
      <c r="K19" s="167"/>
      <c r="L19" s="167"/>
      <c r="M19" s="167"/>
      <c r="N19" s="167"/>
      <c r="O19" s="167"/>
      <c r="P19" s="167"/>
      <c r="Q19" s="167"/>
      <c r="R19" s="786"/>
      <c r="S19" s="137"/>
    </row>
    <row r="20" spans="1:45" ht="16.5" thickBot="1">
      <c r="A20" s="713" t="s">
        <v>3019</v>
      </c>
      <c r="B20" s="337" t="e">
        <f ca="1">IF(D20="——",S22,S22-F20)</f>
        <v>#REF!</v>
      </c>
      <c r="C20" s="167"/>
      <c r="D20" s="2915" t="s">
        <v>3020</v>
      </c>
      <c r="E20" s="1791"/>
      <c r="F20" s="1202" t="e">
        <f ca="1">SUMIF(INDIRECT("'"&amp;H20&amp;"'"&amp;"!A:A"),"承租人权益价值",INDIRECT("'"&amp;H20&amp;"'"&amp;"!c:c"))</f>
        <v>#REF!</v>
      </c>
      <c r="G20" s="1202" t="s">
        <v>3021</v>
      </c>
      <c r="H20" s="2916"/>
      <c r="I20" s="167"/>
      <c r="J20" s="167"/>
      <c r="K20" s="167"/>
      <c r="L20" s="167"/>
      <c r="M20" s="167"/>
      <c r="N20" s="167"/>
      <c r="O20" s="167"/>
      <c r="P20" s="167"/>
      <c r="Q20" s="167"/>
      <c r="R20" s="786"/>
      <c r="S20" s="137"/>
    </row>
    <row r="21" spans="1:45" ht="15.75">
      <c r="A21" s="713" t="s">
        <v>3022</v>
      </c>
      <c r="B21" s="337">
        <f>R22</f>
        <v>10000</v>
      </c>
      <c r="C21" s="167"/>
      <c r="D21" s="167"/>
      <c r="E21" s="167"/>
      <c r="F21" s="167"/>
      <c r="G21" s="167"/>
      <c r="H21" s="167"/>
      <c r="I21" s="167"/>
      <c r="J21" s="167"/>
      <c r="K21" s="167"/>
      <c r="L21" s="167"/>
      <c r="M21" s="167"/>
      <c r="N21" s="167"/>
      <c r="O21" s="167"/>
      <c r="P21" s="167"/>
      <c r="Q21" s="167"/>
      <c r="R21" s="786"/>
      <c r="S21" s="137"/>
    </row>
    <row r="22" spans="1:45">
      <c r="A22" s="360" t="s">
        <v>3023</v>
      </c>
      <c r="B22" s="23">
        <f>SUM(B24:B10000)</f>
        <v>100</v>
      </c>
      <c r="C22" s="3117" t="s">
        <v>33</v>
      </c>
      <c r="D22" s="3118"/>
      <c r="E22" s="3118"/>
      <c r="F22" s="3118"/>
      <c r="G22" s="3118"/>
      <c r="H22" s="3118"/>
      <c r="I22" s="3118"/>
      <c r="J22" s="3118"/>
      <c r="K22" s="3118"/>
      <c r="L22" s="3118"/>
      <c r="M22" s="3118"/>
      <c r="N22" s="3118"/>
      <c r="O22" s="3118"/>
      <c r="P22" s="3118"/>
      <c r="Q22" s="3339"/>
      <c r="R22" s="714">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30185</v>
      </c>
      <c r="C2" s="2" t="s">
        <v>133</v>
      </c>
      <c r="D2" s="242"/>
      <c r="E2" s="242"/>
      <c r="F2" s="242"/>
      <c r="G2" s="242"/>
    </row>
    <row r="3" spans="1:7" s="243" customFormat="1" ht="18" customHeight="1" thickBot="1">
      <c r="A3" s="246" t="s">
        <v>85</v>
      </c>
      <c r="B3" s="247">
        <f ca="1">ROUND(B2*10000/'数据-汇总表'!E3,0)</f>
        <v>93824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62</v>
      </c>
      <c r="D9" s="1030">
        <f>'数据-汇总表'!E5</f>
        <v>2154.4800000000009</v>
      </c>
      <c r="E9" s="268">
        <f>'数据-取费表'!B27</f>
        <v>290</v>
      </c>
      <c r="F9" s="264"/>
      <c r="G9" s="269"/>
    </row>
    <row r="10" spans="1:7" s="257" customFormat="1" ht="13.5" customHeight="1">
      <c r="A10" s="948" t="s">
        <v>801</v>
      </c>
      <c r="B10" s="267" t="s">
        <v>94</v>
      </c>
      <c r="C10" s="268">
        <f>ROUND(D10*E10/10000,0)</f>
        <v>31</v>
      </c>
      <c r="D10" s="1030">
        <f>'数据-汇总表'!E6</f>
        <v>1062.73</v>
      </c>
      <c r="E10" s="268">
        <f>'数据-取费表'!B28</f>
        <v>290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64</v>
      </c>
      <c r="D19" s="1034">
        <f>'数据-汇总表'!E3</f>
        <v>3217.2100000000009</v>
      </c>
      <c r="E19" s="254">
        <f>'数据-取费表'!B31</f>
        <v>200</v>
      </c>
      <c r="F19" s="274"/>
      <c r="G19" s="1" t="s">
        <v>1074</v>
      </c>
    </row>
    <row r="20" spans="1:7" s="257" customFormat="1" ht="13.5" customHeight="1">
      <c r="A20" s="946" t="s">
        <v>1057</v>
      </c>
      <c r="B20" s="253" t="s">
        <v>104</v>
      </c>
      <c r="C20" s="275">
        <f>ROUND((C5+C19)*F20,0)</f>
        <v>413</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2030</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3796</v>
      </c>
      <c r="D27" s="278">
        <f>C29</f>
        <v>3.5999999999999999E-3</v>
      </c>
      <c r="E27" s="279" t="s">
        <v>126</v>
      </c>
      <c r="F27" s="289">
        <f>'数据-取费表'!Q16</f>
        <v>0.18</v>
      </c>
      <c r="G27" s="290" t="s">
        <v>1069</v>
      </c>
    </row>
    <row r="28" spans="1:7" s="257" customFormat="1" ht="13.5" customHeight="1">
      <c r="A28" s="949" t="s">
        <v>794</v>
      </c>
      <c r="B28" s="291" t="s">
        <v>1062</v>
      </c>
      <c r="C28" s="292">
        <f>ROUND((C5+C19+C20)*F27*'数据-取费表'!B21/'数据-取费表'!B20,0)</f>
        <v>3796</v>
      </c>
      <c r="D28" s="278"/>
      <c r="E28" s="279"/>
      <c r="F28" s="289"/>
      <c r="G28" s="290"/>
    </row>
    <row r="29" spans="1:7" s="257" customFormat="1" ht="13.5" customHeight="1">
      <c r="A29" s="949" t="s">
        <v>792</v>
      </c>
      <c r="B29" s="291" t="s">
        <v>1063</v>
      </c>
      <c r="C29" s="281">
        <f>ROUND(C21*F27*'数据-取费表'!B21/'数据-取费表'!B20,4)</f>
        <v>3.5999999999999999E-3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29188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622</v>
      </c>
      <c r="D34" s="260"/>
      <c r="E34" s="263"/>
      <c r="F34" s="300">
        <f>IF('数据-取费表'!B24=0,1,'数据-取费表'!N16)</f>
        <v>1</v>
      </c>
      <c r="G34" s="262" t="s">
        <v>116</v>
      </c>
    </row>
    <row r="35" spans="1:7" ht="13.5" customHeight="1">
      <c r="A35" s="949" t="s">
        <v>796</v>
      </c>
      <c r="B35" s="258" t="s">
        <v>60</v>
      </c>
      <c r="C35" s="263">
        <f>ROUND(C34*F35,0)</f>
        <v>19</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v>
      </c>
      <c r="D36" s="263"/>
      <c r="E36" s="263"/>
      <c r="F36" s="302">
        <f>'数据-取费表'!B34</f>
        <v>0.05</v>
      </c>
      <c r="G36" s="303" t="s">
        <v>62</v>
      </c>
    </row>
    <row r="37" spans="1:7" s="301" customFormat="1" ht="13.5" customHeight="1">
      <c r="A37" s="949" t="s">
        <v>798</v>
      </c>
      <c r="B37" s="258" t="s">
        <v>118</v>
      </c>
      <c r="C37" s="292">
        <f>ROUND(E37*D37*F34/10000,0)</f>
        <v>64</v>
      </c>
      <c r="D37" s="260">
        <f>'数据-汇总表'!E3</f>
        <v>3217.2100000000009</v>
      </c>
      <c r="E37" s="292">
        <f>'数据-取费表'!B35</f>
        <v>200</v>
      </c>
      <c r="F37" s="302"/>
      <c r="G37" s="304" t="s">
        <v>119</v>
      </c>
    </row>
    <row r="38" spans="1:7" ht="13.5" customHeight="1">
      <c r="A38" s="949" t="s">
        <v>799</v>
      </c>
      <c r="B38" s="258" t="s">
        <v>63</v>
      </c>
      <c r="C38" s="263">
        <f>ROUND(C34*F38,0)</f>
        <v>9</v>
      </c>
      <c r="D38" s="263"/>
      <c r="E38" s="263"/>
      <c r="F38" s="302">
        <f>'数据-取费表'!B36</f>
        <v>1.4999999999999999E-2</v>
      </c>
      <c r="G38" s="262" t="s">
        <v>117</v>
      </c>
    </row>
    <row r="39" spans="1:7" s="257" customFormat="1" ht="13.5" customHeight="1">
      <c r="A39" s="946" t="s">
        <v>783</v>
      </c>
      <c r="B39" s="253" t="s">
        <v>104</v>
      </c>
      <c r="C39" s="275">
        <f>ROUND(C33*F20,0)</f>
        <v>15</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36</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35</v>
      </c>
      <c r="D42" s="281"/>
      <c r="E42" s="281"/>
      <c r="F42" s="282"/>
      <c r="G42" s="3202" t="s">
        <v>121</v>
      </c>
    </row>
    <row r="43" spans="1:7" ht="13.5" customHeight="1">
      <c r="A43" s="949" t="s">
        <v>792</v>
      </c>
      <c r="B43" s="258" t="s">
        <v>1064</v>
      </c>
      <c r="C43" s="281">
        <f ca="1">ROUND(IF('数据-取费表'!B22&lt;=1,C39*F22*'数据-取费表'!B21/2,C39*(POWER((1+F22),'数据-取费表'!B21/2)-1)),0)</f>
        <v>1</v>
      </c>
      <c r="D43" s="281"/>
      <c r="E43" s="281"/>
      <c r="F43" s="282"/>
      <c r="G43" s="3203"/>
    </row>
    <row r="44" spans="1:7" ht="13.5" customHeight="1">
      <c r="A44" s="949" t="s">
        <v>793</v>
      </c>
      <c r="B44" s="258" t="s">
        <v>1066</v>
      </c>
      <c r="C44" s="281">
        <f ca="1">ROUND(IF('数据-取费表'!B22&lt;=1,C40*F22*'数据-取费表'!B21/2,C40*(POWER((1+F22),'数据-取费表'!B21/2)-1)),4)</f>
        <v>1E-3</v>
      </c>
      <c r="D44" s="281"/>
      <c r="E44" s="281"/>
      <c r="F44" s="282"/>
      <c r="G44" s="3204"/>
    </row>
    <row r="45" spans="1:7" s="257" customFormat="1" ht="13.5" customHeight="1">
      <c r="A45" s="946" t="s">
        <v>786</v>
      </c>
      <c r="B45" s="287" t="s">
        <v>112</v>
      </c>
      <c r="C45" s="288">
        <f>C46</f>
        <v>135</v>
      </c>
      <c r="D45" s="278">
        <f>C47</f>
        <v>3.5999999999999999E-3</v>
      </c>
      <c r="E45" s="279" t="s">
        <v>129</v>
      </c>
      <c r="F45" s="289"/>
      <c r="G45" s="290" t="s">
        <v>1072</v>
      </c>
    </row>
    <row r="46" spans="1:7" s="257" customFormat="1" ht="13.5" customHeight="1">
      <c r="A46" s="949" t="s">
        <v>794</v>
      </c>
      <c r="B46" s="291" t="s">
        <v>1065</v>
      </c>
      <c r="C46" s="292">
        <f>ROUND((C33+C39)*F27,0)</f>
        <v>135</v>
      </c>
      <c r="D46" s="306"/>
      <c r="E46" s="279"/>
      <c r="F46" s="289"/>
      <c r="G46" s="290"/>
    </row>
    <row r="47" spans="1:7" s="257" customFormat="1" ht="13.5" customHeight="1">
      <c r="A47" s="949" t="s">
        <v>792</v>
      </c>
      <c r="B47" s="291" t="s">
        <v>1067</v>
      </c>
      <c r="C47" s="281">
        <f>ROUND(C40*F27,4)</f>
        <v>3.5999999999999999E-3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997</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997</v>
      </c>
      <c r="D51" s="275"/>
      <c r="E51" s="275"/>
      <c r="F51" s="307"/>
      <c r="G51" s="277" t="s">
        <v>64</v>
      </c>
    </row>
    <row r="52" spans="1:7" s="251" customFormat="1" ht="16.5" thickBot="1">
      <c r="A52" s="308" t="s">
        <v>65</v>
      </c>
      <c r="B52" s="309"/>
      <c r="C52" s="310">
        <f ca="1">C31+C51</f>
        <v>30185</v>
      </c>
      <c r="D52" s="309"/>
      <c r="E52" s="309"/>
      <c r="F52" s="309"/>
      <c r="G52" s="311"/>
    </row>
    <row r="55" spans="1:7" ht="15">
      <c r="B55" s="313" t="s">
        <v>66</v>
      </c>
      <c r="C55" s="314"/>
    </row>
    <row r="56" spans="1:7">
      <c r="B56" s="316" t="s">
        <v>67</v>
      </c>
      <c r="C56" s="317">
        <f ca="1">ROUND(C51/C52,3)</f>
        <v>3.3000000000000002E-2</v>
      </c>
    </row>
    <row r="57" spans="1:7">
      <c r="B57" s="316" t="s">
        <v>68</v>
      </c>
      <c r="C57" s="318">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3" t="s">
        <v>156</v>
      </c>
      <c r="B1" s="3343"/>
      <c r="C1" s="3343"/>
      <c r="D1" s="3343"/>
      <c r="E1" s="3343"/>
      <c r="F1" s="334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4" t="s">
        <v>169</v>
      </c>
      <c r="B2" s="3344"/>
      <c r="C2" s="3344"/>
      <c r="D2" s="3344"/>
      <c r="E2" s="3344"/>
      <c r="F2" s="334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3" t="s">
        <v>871</v>
      </c>
      <c r="B1" s="334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43185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
  <sheetViews>
    <sheetView workbookViewId="0">
      <selection activeCell="C34" sqref="C34"/>
    </sheetView>
  </sheetViews>
  <sheetFormatPr defaultRowHeight="13.5"/>
  <cols>
    <col min="1" max="1" width="79.375" bestFit="1" customWidth="1"/>
    <col min="3" max="3" width="17.375" bestFit="1" customWidth="1"/>
    <col min="5" max="5" width="23.5" bestFit="1" customWidth="1"/>
    <col min="6" max="7" width="17.375" bestFit="1" customWidth="1"/>
    <col min="8" max="8" width="13.375" bestFit="1" customWidth="1"/>
    <col min="10" max="10" width="11" bestFit="1" customWidth="1"/>
    <col min="11" max="11" width="13" bestFit="1" customWidth="1"/>
    <col min="12" max="13" width="11.625" bestFit="1" customWidth="1"/>
    <col min="14" max="14" width="31.75" bestFit="1" customWidth="1"/>
    <col min="15" max="16" width="13.125" bestFit="1" customWidth="1"/>
    <col min="17" max="17" width="18.5" bestFit="1" customWidth="1"/>
    <col min="18" max="18" width="7.5" bestFit="1" customWidth="1"/>
    <col min="19" max="19" width="9.25" bestFit="1" customWidth="1"/>
  </cols>
  <sheetData>
    <row r="1" spans="1:19" s="2955" customFormat="1">
      <c r="A1" s="2955" t="s">
        <v>3102</v>
      </c>
      <c r="B1" s="2955" t="s">
        <v>3103</v>
      </c>
      <c r="C1" s="2955" t="s">
        <v>3104</v>
      </c>
      <c r="D1" s="2955" t="s">
        <v>3105</v>
      </c>
      <c r="E1" s="2955" t="s">
        <v>3106</v>
      </c>
      <c r="F1" s="2955" t="s">
        <v>3107</v>
      </c>
      <c r="G1" s="2955" t="s">
        <v>3108</v>
      </c>
      <c r="H1" s="2955" t="s">
        <v>3109</v>
      </c>
      <c r="I1" s="2955" t="s">
        <v>3110</v>
      </c>
      <c r="J1" s="2955" t="s">
        <v>3111</v>
      </c>
      <c r="K1" s="2955" t="s">
        <v>3112</v>
      </c>
      <c r="L1" s="2955" t="s">
        <v>3113</v>
      </c>
      <c r="M1" s="2955" t="s">
        <v>3114</v>
      </c>
      <c r="N1" s="2955" t="s">
        <v>3115</v>
      </c>
      <c r="O1" s="2955" t="s">
        <v>3116</v>
      </c>
      <c r="P1" s="2955" t="s">
        <v>3117</v>
      </c>
      <c r="Q1" s="2955" t="s">
        <v>3118</v>
      </c>
      <c r="R1" s="2955" t="s">
        <v>3119</v>
      </c>
      <c r="S1" s="2955" t="s">
        <v>3120</v>
      </c>
    </row>
    <row r="2" spans="1:19" s="2955" customFormat="1">
      <c r="A2" s="2955" t="s">
        <v>3121</v>
      </c>
      <c r="B2" s="2955" t="s">
        <v>3052</v>
      </c>
      <c r="C2" s="2955" t="s">
        <v>3122</v>
      </c>
      <c r="D2" s="2955" t="s">
        <v>3123</v>
      </c>
      <c r="E2" s="2955" t="s">
        <v>3124</v>
      </c>
      <c r="F2" s="2955">
        <v>132213.79999999999</v>
      </c>
      <c r="G2" s="2955">
        <v>184092.7</v>
      </c>
      <c r="H2" s="2955" t="s">
        <v>3125</v>
      </c>
      <c r="I2" s="2955" t="s">
        <v>1331</v>
      </c>
      <c r="J2" s="2955" t="s">
        <v>1331</v>
      </c>
      <c r="K2" s="2955" t="s">
        <v>1331</v>
      </c>
      <c r="L2" s="2955" t="s">
        <v>3126</v>
      </c>
      <c r="M2" s="2955" t="s">
        <v>3126</v>
      </c>
      <c r="N2" s="2955" t="s">
        <v>3127</v>
      </c>
      <c r="O2" s="2955">
        <v>82842</v>
      </c>
      <c r="P2" s="2955">
        <v>107000</v>
      </c>
      <c r="Q2" s="2955">
        <v>5812.28</v>
      </c>
      <c r="R2" s="2955">
        <v>29.16</v>
      </c>
      <c r="S2" s="2955" t="s">
        <v>3128</v>
      </c>
    </row>
    <row r="3" spans="1:19" s="2955" customFormat="1">
      <c r="A3" s="2955" t="s">
        <v>3129</v>
      </c>
      <c r="B3" s="2955" t="s">
        <v>3052</v>
      </c>
      <c r="C3" s="2955" t="s">
        <v>3130</v>
      </c>
      <c r="D3" s="2955" t="s">
        <v>3131</v>
      </c>
      <c r="E3" s="2955" t="s">
        <v>3132</v>
      </c>
      <c r="F3" s="2955">
        <v>11312</v>
      </c>
      <c r="G3" s="2955">
        <v>89365</v>
      </c>
      <c r="H3" s="2955" t="s">
        <v>3133</v>
      </c>
      <c r="I3" s="2955" t="s">
        <v>1331</v>
      </c>
      <c r="J3" s="2955" t="s">
        <v>1331</v>
      </c>
      <c r="K3" s="2955" t="s">
        <v>1331</v>
      </c>
      <c r="L3" s="2955" t="s">
        <v>3134</v>
      </c>
      <c r="M3" s="2955" t="s">
        <v>3135</v>
      </c>
      <c r="N3" s="2955" t="s">
        <v>3136</v>
      </c>
      <c r="O3" s="2955">
        <v>58088</v>
      </c>
      <c r="P3" s="2955">
        <v>58088</v>
      </c>
      <c r="Q3" s="2955">
        <v>6500.07</v>
      </c>
      <c r="R3" s="2955">
        <v>0</v>
      </c>
      <c r="S3" s="2955" t="s">
        <v>3128</v>
      </c>
    </row>
    <row r="4" spans="1:19" s="2955" customFormat="1">
      <c r="A4" s="2956" t="s">
        <v>3142</v>
      </c>
      <c r="B4" s="2955" t="s">
        <v>3052</v>
      </c>
      <c r="C4" s="2955" t="s">
        <v>3122</v>
      </c>
      <c r="D4" s="2955" t="s">
        <v>3123</v>
      </c>
      <c r="E4" s="2955" t="s">
        <v>3137</v>
      </c>
      <c r="F4" s="2955">
        <v>26311</v>
      </c>
      <c r="G4" s="2955">
        <v>92089</v>
      </c>
      <c r="H4" s="2955" t="s">
        <v>3138</v>
      </c>
      <c r="I4" s="2955" t="s">
        <v>1331</v>
      </c>
      <c r="J4" s="2955" t="s">
        <v>1331</v>
      </c>
      <c r="K4" s="2955" t="s">
        <v>1331</v>
      </c>
      <c r="L4" s="2955" t="s">
        <v>3139</v>
      </c>
      <c r="M4" s="2955" t="s">
        <v>3139</v>
      </c>
      <c r="N4" s="2955" t="s">
        <v>3140</v>
      </c>
      <c r="O4" s="2955">
        <v>27948</v>
      </c>
      <c r="P4" s="2955">
        <v>63200</v>
      </c>
      <c r="Q4" s="2955">
        <v>6862.93</v>
      </c>
      <c r="R4" s="2955">
        <v>126.13</v>
      </c>
      <c r="S4" s="2955" t="s">
        <v>3141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24"/>
      <c r="B3" s="3024"/>
      <c r="C3" s="3024"/>
      <c r="D3" s="1042" t="s">
        <v>1639</v>
      </c>
      <c r="E3" s="1042" t="s">
        <v>1645</v>
      </c>
      <c r="F3" s="1042" t="s">
        <v>1639</v>
      </c>
      <c r="G3" s="1042" t="s">
        <v>1640</v>
      </c>
      <c r="H3" s="1042" t="s">
        <v>1639</v>
      </c>
      <c r="I3" s="1042" t="s">
        <v>1640</v>
      </c>
    </row>
    <row r="4" spans="1:9" ht="60">
      <c r="A4" s="1971" t="str">
        <f>项目基本情况!S2</f>
        <v>重庆市南岸区弹子石D4-1-1/04、D4-1-2/04地块出让国有建设用地使用权及在建建筑物房地产</v>
      </c>
      <c r="B4" s="1042">
        <f>项目基本情况!C17</f>
        <v>3217.2100000000009</v>
      </c>
      <c r="C4" s="1042">
        <f>项目基本情况!C18</f>
        <v>900.43</v>
      </c>
      <c r="D4" s="1042" t="e">
        <f ca="1">结果表!D118</f>
        <v>#N/A</v>
      </c>
      <c r="E4" s="1042" t="e">
        <f ca="1">结果表!E118</f>
        <v>#N/A</v>
      </c>
      <c r="F4" s="1042" t="e">
        <f ca="1">结果表!F118</f>
        <v>#N/A</v>
      </c>
      <c r="G4" s="1042" t="e">
        <f ca="1">结果表!G118</f>
        <v>#N/A</v>
      </c>
      <c r="H4" s="1042" t="e">
        <f ca="1">结果表!H118</f>
        <v>#N/A</v>
      </c>
      <c r="I4" s="1042" t="e">
        <f ca="1">结果表!I118</f>
        <v>#N/A</v>
      </c>
    </row>
    <row r="5" spans="1:9" ht="30" customHeight="1">
      <c r="A5" s="3024" t="s">
        <v>1641</v>
      </c>
      <c r="B5" s="3024"/>
      <c r="C5" s="3024"/>
      <c r="D5" s="3025" t="e">
        <f ca="1">结果表!D119</f>
        <v>#N/A</v>
      </c>
      <c r="E5" s="3025"/>
      <c r="F5" s="3025" t="e">
        <f ca="1">结果表!F119</f>
        <v>#N/A</v>
      </c>
      <c r="G5" s="3025"/>
      <c r="H5" s="3025" t="e">
        <f ca="1">结果表!H119</f>
        <v>#N/A</v>
      </c>
      <c r="I5" s="3025"/>
    </row>
    <row r="6" spans="1:9" ht="15.75">
      <c r="A6" s="3026" t="str">
        <f>结果表!A120</f>
        <v>估价师知悉的法定优先受偿款</v>
      </c>
      <c r="B6" s="3026"/>
      <c r="C6" s="3026"/>
      <c r="D6" s="3026">
        <f>结果表!D120</f>
        <v>0</v>
      </c>
      <c r="E6" s="3026"/>
      <c r="F6" s="3026"/>
      <c r="G6" s="3026"/>
      <c r="H6" s="3026"/>
      <c r="I6" s="3026"/>
    </row>
    <row r="7" spans="1:9" ht="15">
      <c r="A7" s="3024" t="s">
        <v>1641</v>
      </c>
      <c r="B7" s="3024"/>
      <c r="C7" s="3024"/>
      <c r="D7" s="3027" t="str">
        <f>结果表!D121</f>
        <v>零元整</v>
      </c>
      <c r="E7" s="3028"/>
      <c r="F7" s="3028"/>
      <c r="G7" s="3028"/>
      <c r="H7" s="3028"/>
      <c r="I7" s="3029"/>
    </row>
    <row r="8" spans="1:9" ht="15.75">
      <c r="A8" s="3026" t="str">
        <f>结果表!A122</f>
        <v/>
      </c>
      <c r="B8" s="3026"/>
      <c r="C8" s="3026"/>
      <c r="D8" s="3026" t="str">
        <f>结果表!D122</f>
        <v>——</v>
      </c>
      <c r="E8" s="3026"/>
      <c r="F8" s="3026"/>
      <c r="G8" s="3026"/>
      <c r="H8" s="3026"/>
      <c r="I8" s="3026"/>
    </row>
    <row r="9" spans="1:9" ht="15">
      <c r="A9" s="3024" t="s">
        <v>1641</v>
      </c>
      <c r="B9" s="3024"/>
      <c r="C9" s="3024"/>
      <c r="D9" s="3025" t="e">
        <f>结果表!D123</f>
        <v>#VALUE!</v>
      </c>
      <c r="E9" s="3025"/>
      <c r="F9" s="3025"/>
      <c r="G9" s="3025"/>
      <c r="H9" s="3025"/>
      <c r="I9" s="3025"/>
    </row>
    <row r="10" spans="1:9" ht="15.75">
      <c r="A10" s="3026" t="str">
        <f>结果表!A124</f>
        <v>抵押担保权已注销时的房地产抵押价值</v>
      </c>
      <c r="B10" s="3026"/>
      <c r="C10" s="3026"/>
      <c r="D10" s="3026" t="e">
        <f ca="1">结果表!D124</f>
        <v>#N/A</v>
      </c>
      <c r="E10" s="3026"/>
      <c r="F10" s="3026"/>
      <c r="G10" s="3026"/>
      <c r="H10" s="3026"/>
      <c r="I10" s="3026"/>
    </row>
    <row r="11" spans="1:9" ht="15">
      <c r="A11" s="3024" t="s">
        <v>1641</v>
      </c>
      <c r="B11" s="3024"/>
      <c r="C11" s="3024"/>
      <c r="D11" s="3025" t="e">
        <f ca="1">结果表!D125</f>
        <v>#N/A</v>
      </c>
      <c r="E11" s="3025"/>
      <c r="F11" s="3025"/>
      <c r="G11" s="3025"/>
      <c r="H11" s="3025"/>
      <c r="I11" s="3025"/>
    </row>
    <row r="12" spans="1:9" ht="15.75">
      <c r="A12" s="3026" t="str">
        <f>结果表!A126</f>
        <v/>
      </c>
      <c r="B12" s="3026"/>
      <c r="C12" s="3026"/>
      <c r="D12" s="3026" t="str">
        <f>结果表!D126</f>
        <v>——</v>
      </c>
      <c r="E12" s="3026"/>
      <c r="F12" s="3026"/>
      <c r="G12" s="3026"/>
      <c r="H12" s="3026"/>
      <c r="I12" s="3026"/>
    </row>
    <row r="13" spans="1:9" ht="15.75" thickBot="1">
      <c r="A13" s="3030" t="s">
        <v>1641</v>
      </c>
      <c r="B13" s="3030"/>
      <c r="C13" s="3030"/>
      <c r="D13" s="3031" t="e">
        <f>结果表!D127</f>
        <v>#VALUE!</v>
      </c>
      <c r="E13" s="3031"/>
      <c r="F13" s="3031"/>
      <c r="G13" s="3031"/>
      <c r="H13" s="3031"/>
      <c r="I13" s="3031"/>
    </row>
    <row r="14" spans="1:9" ht="15" thickTop="1">
      <c r="A14" s="3032" t="s">
        <v>1646</v>
      </c>
      <c r="B14" s="3032"/>
      <c r="C14" s="3032"/>
      <c r="D14" s="3032"/>
      <c r="E14" s="3032"/>
      <c r="F14" s="3032"/>
      <c r="G14" s="3032"/>
      <c r="H14" s="3032"/>
      <c r="I14" s="3032"/>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3" t="s">
        <v>1663</v>
      </c>
      <c r="B1" s="3033"/>
      <c r="C1" s="3033"/>
      <c r="D1" s="3033"/>
    </row>
    <row r="2" spans="1:4" ht="18">
      <c r="A2" s="3034" t="s">
        <v>1647</v>
      </c>
      <c r="B2" s="3034"/>
      <c r="C2" s="3034"/>
      <c r="D2" s="3034"/>
    </row>
    <row r="3" spans="1:4" ht="18.75">
      <c r="A3" s="1975" t="s">
        <v>1648</v>
      </c>
      <c r="B3" s="1975" t="s">
        <v>1649</v>
      </c>
      <c r="C3" s="1975" t="s">
        <v>1650</v>
      </c>
      <c r="D3" s="1975" t="s">
        <v>1651</v>
      </c>
    </row>
    <row r="4" spans="1:4" ht="56.25" customHeight="1">
      <c r="A4" s="1976">
        <f>项目基本情况!B4</f>
        <v>0</v>
      </c>
      <c r="B4" s="1977">
        <f>项目基本情况!C4</f>
        <v>0</v>
      </c>
      <c r="C4" s="1978"/>
      <c r="D4" s="1979" t="s">
        <v>1652</v>
      </c>
    </row>
    <row r="5" spans="1:4" ht="56.25" customHeight="1">
      <c r="A5" s="1976">
        <f>项目基本情况!D4</f>
        <v>0</v>
      </c>
      <c r="B5" s="1977">
        <f>项目基本情况!E4</f>
        <v>0</v>
      </c>
      <c r="C5" s="1980"/>
      <c r="D5" s="1979" t="s">
        <v>1652</v>
      </c>
    </row>
    <row r="6" spans="1:4" ht="18">
      <c r="A6" s="3034" t="s">
        <v>1653</v>
      </c>
      <c r="B6" s="3034"/>
      <c r="C6" s="3034"/>
      <c r="D6" s="3034"/>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3035" t="s">
        <v>1656</v>
      </c>
      <c r="B11" s="3036"/>
      <c r="C11" s="3036"/>
      <c r="D11" s="3036"/>
    </row>
    <row r="12" spans="1:4" ht="15.75">
      <c r="A12" s="30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6" t="str">
        <f>IF(项目基本情况!B8="抵押","4.本次评估估价师所知悉的法定优先受偿款情况说明如下：","——")</f>
        <v>4.本次评估估价师所知悉的法定优先受偿款情况说明如下：</v>
      </c>
      <c r="B14" s="3037"/>
      <c r="C14" s="3037"/>
      <c r="D14" s="3037"/>
    </row>
    <row r="15" spans="1:4" ht="42" customHeight="1">
      <c r="A15" s="3036"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6"/>
      <c r="C15" s="3036"/>
      <c r="D15" s="3036"/>
    </row>
    <row r="16" spans="1:4" ht="30" customHeight="1">
      <c r="A16" s="3039" t="s">
        <v>1657</v>
      </c>
      <c r="B16" s="3039"/>
      <c r="C16" s="3039"/>
      <c r="D16" s="3039"/>
    </row>
    <row r="17" spans="1:4" ht="144" customHeight="1">
      <c r="A17" s="3039" t="s">
        <v>1658</v>
      </c>
      <c r="B17" s="3039"/>
      <c r="C17" s="3039"/>
      <c r="D17" s="3039"/>
    </row>
    <row r="18" spans="1:4" ht="15.75" customHeight="1">
      <c r="A18" s="3036" t="str">
        <f>IF(项目基本情况!B8="抵押",结果表!K120,"——")</f>
        <v>故，本次评估不存在估价师知悉的法定优先受偿款</v>
      </c>
      <c r="B18" s="3036"/>
      <c r="C18" s="3036"/>
      <c r="D18" s="3036"/>
    </row>
    <row r="19" spans="1:4" ht="46.5" customHeight="1">
      <c r="A19" s="30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6"/>
      <c r="C19" s="3036"/>
      <c r="D19" s="3036"/>
    </row>
    <row r="20" spans="1:4" ht="57.75" customHeight="1">
      <c r="A20" s="30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6"/>
      <c r="C20" s="3036"/>
      <c r="D20" s="3036"/>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1659</v>
      </c>
      <c r="B22" s="3041"/>
      <c r="C22" s="3041"/>
      <c r="D22" s="3041"/>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38">
        <v>42551</v>
      </c>
      <c r="D31" s="30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7" t="s">
        <v>1670</v>
      </c>
      <c r="B15" s="3042" t="s">
        <v>136</v>
      </c>
      <c r="C15" s="3043"/>
    </row>
    <row r="16" spans="1:7" ht="13.5">
      <c r="A16" s="3048"/>
      <c r="B16" s="3042" t="s">
        <v>69</v>
      </c>
      <c r="C16" s="3043"/>
    </row>
    <row r="17" spans="1:3" ht="13.5">
      <c r="A17" s="3048"/>
      <c r="B17" s="3045" t="s">
        <v>1671</v>
      </c>
      <c r="C17" s="1998" t="s">
        <v>1670</v>
      </c>
    </row>
    <row r="18" spans="1:3" ht="13.5">
      <c r="A18" s="3048"/>
      <c r="B18" s="3045"/>
      <c r="C18" s="1998" t="s">
        <v>1672</v>
      </c>
    </row>
    <row r="19" spans="1:3" ht="13.5">
      <c r="A19" s="3048"/>
      <c r="B19" s="3045"/>
      <c r="C19" s="1998" t="s">
        <v>1673</v>
      </c>
    </row>
    <row r="20" spans="1:3" ht="13.5">
      <c r="A20" s="3049"/>
      <c r="B20" s="3044" t="s">
        <v>1674</v>
      </c>
      <c r="C20" s="3043"/>
    </row>
    <row r="21" spans="1:3" ht="13.5">
      <c r="A21" s="1999" t="s">
        <v>1675</v>
      </c>
      <c r="B21" s="2000"/>
      <c r="C21" s="2001"/>
    </row>
    <row r="22" spans="1:3" ht="13.5">
      <c r="A22" s="3046" t="s">
        <v>1676</v>
      </c>
      <c r="B22" s="3044" t="s">
        <v>1677</v>
      </c>
      <c r="C22" s="3043"/>
    </row>
    <row r="23" spans="1:3" ht="13.5">
      <c r="A23" s="3046"/>
      <c r="B23" s="3044" t="s">
        <v>1678</v>
      </c>
      <c r="C23" s="3043"/>
    </row>
    <row r="24" spans="1:3" ht="13.5">
      <c r="A24" s="3046"/>
      <c r="B24" s="3044" t="s">
        <v>1679</v>
      </c>
      <c r="C24" s="3043"/>
    </row>
    <row r="25" spans="1:3" ht="13.5">
      <c r="A25" s="3046"/>
      <c r="B25" s="3045" t="s">
        <v>1680</v>
      </c>
      <c r="C25" s="1998" t="s">
        <v>1681</v>
      </c>
    </row>
    <row r="26" spans="1:3" ht="13.5">
      <c r="A26" s="3046"/>
      <c r="B26" s="3045"/>
      <c r="C26" s="1998" t="s">
        <v>1682</v>
      </c>
    </row>
    <row r="27" spans="1:3" ht="13.5">
      <c r="A27" s="3046"/>
      <c r="B27" s="3045"/>
      <c r="C27" s="1998" t="s">
        <v>1683</v>
      </c>
    </row>
    <row r="28" spans="1:3" ht="13.5">
      <c r="A28" s="3046"/>
      <c r="B28" s="3045"/>
      <c r="C28" s="1998" t="s">
        <v>1684</v>
      </c>
    </row>
    <row r="29" spans="1:3" ht="13.5">
      <c r="A29" s="3046"/>
      <c r="B29" s="3045"/>
      <c r="C29" s="1998" t="s">
        <v>1685</v>
      </c>
    </row>
    <row r="30" spans="1:3" ht="13.5">
      <c r="A30" s="3046"/>
      <c r="B30" s="3045"/>
      <c r="C30" s="1998" t="s">
        <v>1686</v>
      </c>
    </row>
    <row r="31" spans="1:3" ht="13.5">
      <c r="A31" s="3046"/>
      <c r="B31" s="3045"/>
      <c r="C31" s="1998" t="s">
        <v>1687</v>
      </c>
    </row>
    <row r="32" spans="1:3" ht="13.5">
      <c r="A32" s="3046"/>
      <c r="B32" s="3045"/>
      <c r="C32" s="1998" t="s">
        <v>1688</v>
      </c>
    </row>
    <row r="33" spans="1:3" ht="13.5">
      <c r="A33" s="3046"/>
      <c r="B33" s="3045"/>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43198</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343"/>
      <c r="D12" s="2346"/>
      <c r="E12" s="1020"/>
      <c r="F12" s="1020"/>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343">
        <v>43304</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50" t="s">
        <v>846</v>
      </c>
      <c r="B25" s="3050"/>
      <c r="C25" s="3050"/>
      <c r="D25" s="3050"/>
      <c r="E25" s="3050"/>
      <c r="F25" s="3050"/>
      <c r="G25" s="3050"/>
    </row>
    <row r="26" spans="1:7" s="1023" customFormat="1" ht="24" customHeight="1">
      <c r="A26" s="3051" t="s">
        <v>847</v>
      </c>
      <c r="B26" s="3051"/>
      <c r="C26" s="3052"/>
      <c r="D26" s="3053" t="s">
        <v>848</v>
      </c>
      <c r="E26" s="3051"/>
      <c r="F26" s="3051"/>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范围</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2018-04-08T06:53:19Z</dcterms:modified>
</cp:coreProperties>
</file>